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124"/>
  <workbookPr updateLinks="never" codeName="ThisWorkbook" autoCompressPictures="0"/>
  <mc:AlternateContent xmlns:mc="http://schemas.openxmlformats.org/markup-compatibility/2006">
    <mc:Choice Requires="x15">
      <x15ac:absPath xmlns:x15ac="http://schemas.microsoft.com/office/spreadsheetml/2010/11/ac" url="/Users/bradleyfritz/Dropbox/BKF 128/Critical Folders/Aerial Nozzle Models Dist. Versions/Most Current Versions/"/>
    </mc:Choice>
  </mc:AlternateContent>
  <xr:revisionPtr revIDLastSave="0" documentId="13_ncr:1_{8DF5E9E7-2459-D645-B072-FF987B98CE65}" xr6:coauthVersionLast="47" xr6:coauthVersionMax="47" xr10:uidLastSave="{00000000-0000-0000-0000-000000000000}"/>
  <bookViews>
    <workbookView xWindow="14420" yWindow="1300" windowWidth="23800" windowHeight="26500" tabRatio="785" xr2:uid="{00000000-000D-0000-FFFF-FFFF00000000}"/>
  </bookViews>
  <sheets>
    <sheet name="Atomization Model" sheetId="1" r:id="rId1"/>
    <sheet name="Model Parameters with Tables" sheetId="7" r:id="rId2"/>
    <sheet name="Nozzle Flow Rates with Tables" sheetId="8" r:id="rId3"/>
    <sheet name="Reference Nozzles S572.3" sheetId="5" r:id="rId4"/>
  </sheets>
  <definedNames>
    <definedName name="_xlnm._FilterDatabase" localSheetId="0" hidden="1">'Atomization Model'!$U$25:$U$27</definedName>
    <definedName name="_xlnm._FilterDatabase" localSheetId="1" hidden="1">'Model Parameters with Tables'!#REF!</definedName>
    <definedName name="SelectedNozzle">'Model Parameters with Tables'!$C$58</definedName>
    <definedName name="SelectedOrifice">'Model Parameters with Tables'!$C$56</definedName>
    <definedName name="SelectedRestrictor">'Model Parameters with Tables'!$F$56</definedName>
    <definedName name="SelectedSpeed">'Model Parameters with Tables'!$C$57</definedName>
  </definedNames>
  <calcPr calcId="191028"/>
  <customWorkbookViews>
    <customWorkbookView name="Administrator - Personal View" guid="{CD17FB03-8870-11D2-8172-00C04FC29620}" mergeInterval="0" personalView="1" maximized="1" windowWidth="1276" windowHeight="835" activeSheetId="1"/>
  </customWorkbookView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F56" i="7" l="1"/>
  <c r="M15" i="8" s="1"/>
  <c r="K22" i="8"/>
  <c r="N21" i="8"/>
  <c r="K21" i="8"/>
  <c r="N20" i="8"/>
  <c r="S56" i="7"/>
  <c r="S57" i="7"/>
  <c r="S58" i="7"/>
  <c r="S59" i="7"/>
  <c r="C57" i="7"/>
  <c r="C58" i="7"/>
  <c r="E49" i="7"/>
  <c r="E48" i="7"/>
  <c r="E47" i="7"/>
  <c r="B62" i="7" l="1" a="1"/>
  <c r="B62" i="7" s="1"/>
  <c r="P17" i="1" s="1"/>
  <c r="W60" i="7" a="1"/>
  <c r="W60" i="7" s="1"/>
  <c r="Q60" i="7" s="1"/>
  <c r="W58" i="7" a="1"/>
  <c r="W58" i="7" s="1"/>
  <c r="Q58" i="7" s="1"/>
  <c r="W57" i="7" a="1"/>
  <c r="W57" i="7" s="1"/>
  <c r="Q57" i="7" s="1"/>
  <c r="W56" i="7" a="1"/>
  <c r="W56" i="7" s="1"/>
  <c r="Q56" i="7" s="1"/>
  <c r="W55" i="7" a="1"/>
  <c r="W55" i="7" s="1"/>
  <c r="Q55" i="7" s="1"/>
  <c r="W54" i="7" a="1"/>
  <c r="W54" i="7" s="1"/>
  <c r="Q54" i="7" s="1"/>
  <c r="W53" i="7" a="1"/>
  <c r="W53" i="7" s="1"/>
  <c r="Q53" i="7" s="1"/>
  <c r="W52" i="7" a="1"/>
  <c r="W52" i="7" s="1"/>
  <c r="Q52" i="7" s="1"/>
  <c r="W51" i="7" a="1"/>
  <c r="W51" i="7" s="1"/>
  <c r="Q51" i="7" s="1"/>
  <c r="W50" i="7" a="1"/>
  <c r="W50" i="7" s="1"/>
  <c r="Q50" i="7" s="1"/>
  <c r="W49" i="7" a="1"/>
  <c r="W49" i="7" s="1"/>
  <c r="Q49" i="7" s="1"/>
  <c r="W48" i="7" a="1"/>
  <c r="W48" i="7" s="1"/>
  <c r="Q48" i="7" s="1"/>
  <c r="W47" i="7" a="1"/>
  <c r="W47" i="7" s="1"/>
  <c r="Q47" i="7" s="1"/>
  <c r="W46" i="7" a="1"/>
  <c r="W46" i="7" s="1"/>
  <c r="Q46" i="7" s="1"/>
  <c r="B61" i="7" a="1"/>
  <c r="B61" i="7" s="1"/>
  <c r="M17" i="1" s="1"/>
  <c r="W59" i="7" a="1"/>
  <c r="W59" i="7" s="1"/>
  <c r="Q59" i="7" s="1"/>
  <c r="V56" i="7" a="1"/>
  <c r="V56" i="7" s="1"/>
  <c r="R56" i="7" s="1"/>
  <c r="V55" i="7" a="1"/>
  <c r="V55" i="7" s="1"/>
  <c r="R55" i="7" s="1"/>
  <c r="V50" i="7" a="1"/>
  <c r="V50" i="7" s="1"/>
  <c r="R50" i="7" s="1"/>
  <c r="V47" i="7" a="1"/>
  <c r="V47" i="7" s="1"/>
  <c r="R47" i="7" s="1"/>
  <c r="V57" i="7" a="1"/>
  <c r="V57" i="7" s="1"/>
  <c r="R57" i="7" s="1"/>
  <c r="V54" i="7" a="1"/>
  <c r="V54" i="7" s="1"/>
  <c r="R54" i="7" s="1"/>
  <c r="V52" i="7" a="1"/>
  <c r="V52" i="7" s="1"/>
  <c r="R52" i="7" s="1"/>
  <c r="V49" i="7" a="1"/>
  <c r="V49" i="7" s="1"/>
  <c r="R49" i="7" s="1"/>
  <c r="V46" i="7" a="1"/>
  <c r="V46" i="7" s="1"/>
  <c r="R46" i="7" s="1"/>
  <c r="V58" i="7" a="1"/>
  <c r="V58" i="7" s="1"/>
  <c r="R58" i="7" s="1"/>
  <c r="V53" i="7" a="1"/>
  <c r="V53" i="7" s="1"/>
  <c r="R53" i="7" s="1"/>
  <c r="V51" i="7" a="1"/>
  <c r="V51" i="7" s="1"/>
  <c r="R51" i="7" s="1"/>
  <c r="V48" i="7" a="1"/>
  <c r="V48" i="7" s="1"/>
  <c r="R48" i="7" s="1"/>
  <c r="E24" i="7"/>
  <c r="E25" i="7"/>
  <c r="E26" i="7"/>
  <c r="E27" i="7"/>
  <c r="E29" i="7"/>
  <c r="E23" i="7"/>
  <c r="E14" i="7"/>
  <c r="E28" i="7"/>
  <c r="B63" i="7"/>
  <c r="F17" i="1" s="1"/>
  <c r="J14" i="8"/>
  <c r="K23" i="8"/>
  <c r="D41" i="1" s="1"/>
  <c r="B59" i="7" a="1"/>
  <c r="B59" i="7" s="1"/>
  <c r="I16" i="1" s="1"/>
  <c r="T55" i="7" a="1"/>
  <c r="T55" i="7" s="1"/>
  <c r="S55" i="7" s="1"/>
  <c r="T54" i="7" a="1"/>
  <c r="T54" i="7" s="1"/>
  <c r="S54" i="7" s="1"/>
  <c r="T53" i="7" a="1"/>
  <c r="T53" i="7" s="1"/>
  <c r="S53" i="7" s="1"/>
  <c r="T52" i="7" a="1"/>
  <c r="T52" i="7" s="1"/>
  <c r="S52" i="7" s="1"/>
  <c r="T51" i="7" a="1"/>
  <c r="T51" i="7" s="1"/>
  <c r="S51" i="7" s="1"/>
  <c r="T50" i="7" a="1"/>
  <c r="T50" i="7" s="1"/>
  <c r="S50" i="7" s="1"/>
  <c r="T49" i="7" a="1"/>
  <c r="T49" i="7" s="1"/>
  <c r="S49" i="7" s="1"/>
  <c r="T48" i="7" a="1"/>
  <c r="T48" i="7" s="1"/>
  <c r="S48" i="7" s="1"/>
  <c r="T47" i="7" a="1"/>
  <c r="T47" i="7" s="1"/>
  <c r="S47" i="7" s="1"/>
  <c r="T46" i="7" a="1"/>
  <c r="T46" i="7" s="1"/>
  <c r="S46" i="7" s="1"/>
  <c r="U52" i="7"/>
  <c r="P52" i="7" s="1"/>
  <c r="U49" i="7"/>
  <c r="P49" i="7" s="1"/>
  <c r="U48" i="7"/>
  <c r="P48" i="7" s="1"/>
  <c r="U47" i="7"/>
  <c r="P47" i="7" s="1"/>
  <c r="U46" i="7"/>
  <c r="P46" i="7" s="1"/>
  <c r="U50" i="7"/>
  <c r="P50" i="7" s="1"/>
  <c r="U51" i="7"/>
  <c r="P51" i="7" s="1"/>
  <c r="U56" i="7"/>
  <c r="P56" i="7" s="1"/>
  <c r="U55" i="7"/>
  <c r="P55" i="7" s="1"/>
  <c r="U54" i="7"/>
  <c r="P54" i="7" s="1"/>
  <c r="U53" i="7"/>
  <c r="P53" i="7" s="1"/>
  <c r="B60" i="7" a="1"/>
  <c r="B60" i="7" s="1"/>
  <c r="I17" i="1" s="1"/>
  <c r="U59" i="7"/>
  <c r="P59" i="7" s="1"/>
  <c r="U58" i="7"/>
  <c r="P58" i="7" s="1"/>
  <c r="U57" i="7"/>
  <c r="P57" i="7" s="1"/>
  <c r="E41" i="7" a="1"/>
  <c r="E39" i="7" a="1"/>
  <c r="E38" i="7" a="1"/>
  <c r="E37" i="7" a="1"/>
  <c r="E40" i="7" a="1"/>
  <c r="E8" i="7"/>
  <c r="E9" i="7"/>
  <c r="E10" i="7"/>
  <c r="E11" i="7"/>
  <c r="E12" i="7"/>
  <c r="E13" i="7"/>
  <c r="E15" i="7"/>
  <c r="E16" i="7"/>
  <c r="E17" i="7"/>
  <c r="E18" i="7"/>
  <c r="E19" i="7"/>
  <c r="E20" i="7"/>
  <c r="E21" i="7"/>
  <c r="E22" i="7"/>
  <c r="E7" i="7"/>
  <c r="E54" i="7" a="1"/>
  <c r="E54" i="7" s="1"/>
  <c r="E53" i="7" a="1"/>
  <c r="E53" i="7" s="1"/>
  <c r="E52" i="7" a="1"/>
  <c r="E52" i="7" s="1"/>
  <c r="F55" i="7" a="1"/>
  <c r="F55" i="7" s="1"/>
  <c r="F54" i="7" a="1"/>
  <c r="F54" i="7" s="1"/>
  <c r="F53" i="7" a="1"/>
  <c r="F53" i="7" s="1"/>
  <c r="F52" i="7" a="1"/>
  <c r="F52" i="7" s="1"/>
  <c r="E55" i="7" a="1"/>
  <c r="E55" i="7" s="1"/>
  <c r="E37" i="7" l="1"/>
  <c r="E41" i="7"/>
  <c r="E38" i="7"/>
  <c r="E39" i="7"/>
  <c r="E40" i="7"/>
  <c r="F49" i="7"/>
  <c r="F47" i="7"/>
  <c r="F48" i="7"/>
  <c r="C56" i="7" l="1"/>
  <c r="J15" i="8" l="1"/>
  <c r="E46" i="7"/>
  <c r="F46" i="7" s="1"/>
  <c r="K18" i="8" l="1" a="1"/>
  <c r="K18" i="8" s="1"/>
  <c r="K19" i="8" a="1"/>
  <c r="K19" i="8" s="1"/>
  <c r="J49" i="7"/>
  <c r="K49" i="7" s="1"/>
  <c r="E27" i="1" s="1"/>
  <c r="J44" i="7"/>
  <c r="K44" i="7" s="1"/>
  <c r="E22" i="1" s="1"/>
  <c r="H8" i="5" s="1"/>
  <c r="J46" i="7"/>
  <c r="E24" i="1" s="1"/>
  <c r="J48" i="7"/>
  <c r="K48" i="7" s="1"/>
  <c r="E26" i="1" s="1"/>
  <c r="J45" i="7"/>
  <c r="K45" i="7" s="1"/>
  <c r="E23" i="1" s="1"/>
  <c r="H9" i="5" s="1"/>
  <c r="K20" i="8" l="1"/>
  <c r="D43" i="1" s="1"/>
  <c r="D45" i="1" s="1"/>
  <c r="C14" i="5"/>
  <c r="B14" i="5"/>
  <c r="E29" i="1" s="1"/>
  <c r="B13" i="5"/>
  <c r="E28" i="1" s="1"/>
  <c r="C13" i="5"/>
  <c r="E25" i="1"/>
  <c r="H10" i="5"/>
  <c r="B16" i="5" l="1"/>
  <c r="E31" i="1" s="1"/>
  <c r="C15" i="5"/>
  <c r="B15" i="5"/>
  <c r="E30"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<sst xmlns="http://schemas.openxmlformats.org/spreadsheetml/2006/main" count="1353" uniqueCount="242">
  <si>
    <t xml:space="preserve"> </t>
  </si>
  <si>
    <t>µm</t>
  </si>
  <si>
    <t>RS =</t>
  </si>
  <si>
    <t xml:space="preserve"> = Relative Span</t>
  </si>
  <si>
    <t>%</t>
  </si>
  <si>
    <t xml:space="preserve"> = Percentage of spray volume in droplets smaller than 100 µm diameter.</t>
  </si>
  <si>
    <t xml:space="preserve">CAUTION: Do not enter or clear data in the cells in this box! </t>
  </si>
  <si>
    <t>%V&lt;100µm</t>
  </si>
  <si>
    <t>%V&lt;100µm =</t>
  </si>
  <si>
    <t>%V&lt;200µm =</t>
  </si>
  <si>
    <t>Cumulative Volume Fraction</t>
  </si>
  <si>
    <t>Selection</t>
  </si>
  <si>
    <r>
      <t>D</t>
    </r>
    <r>
      <rPr>
        <b/>
        <vertAlign val="subscript"/>
        <sz val="10"/>
        <color indexed="63"/>
        <rFont val="Arial"/>
        <family val="2"/>
      </rPr>
      <t>V0.1</t>
    </r>
    <r>
      <rPr>
        <b/>
        <sz val="10"/>
        <color indexed="63"/>
        <rFont val="Arial"/>
        <family val="2"/>
      </rPr>
      <t xml:space="preserve"> =</t>
    </r>
  </si>
  <si>
    <r>
      <t xml:space="preserve"> = Droplet size such that 10% of the spray volume is in droplets smaller than D</t>
    </r>
    <r>
      <rPr>
        <b/>
        <vertAlign val="subscript"/>
        <sz val="10"/>
        <color indexed="63"/>
        <rFont val="Arial"/>
        <family val="2"/>
      </rPr>
      <t>V0.1</t>
    </r>
    <r>
      <rPr>
        <b/>
        <sz val="10"/>
        <color indexed="63"/>
        <rFont val="Arial"/>
        <family val="2"/>
      </rPr>
      <t>.</t>
    </r>
  </si>
  <si>
    <r>
      <t>D</t>
    </r>
    <r>
      <rPr>
        <b/>
        <vertAlign val="subscript"/>
        <sz val="10"/>
        <color indexed="63"/>
        <rFont val="Arial"/>
        <family val="2"/>
      </rPr>
      <t>V0.5</t>
    </r>
    <r>
      <rPr>
        <b/>
        <sz val="10"/>
        <color indexed="63"/>
        <rFont val="Arial"/>
        <family val="2"/>
      </rPr>
      <t xml:space="preserve"> =</t>
    </r>
  </si>
  <si>
    <r>
      <t>D</t>
    </r>
    <r>
      <rPr>
        <b/>
        <vertAlign val="subscript"/>
        <sz val="10"/>
        <color indexed="63"/>
        <rFont val="Arial"/>
        <family val="2"/>
      </rPr>
      <t>V0.9</t>
    </r>
    <r>
      <rPr>
        <b/>
        <sz val="10"/>
        <color indexed="63"/>
        <rFont val="Arial"/>
        <family val="2"/>
      </rPr>
      <t xml:space="preserve"> =</t>
    </r>
  </si>
  <si>
    <r>
      <t xml:space="preserve"> = Droplet size such that 90% of the spray volume is in droplets smaller than D</t>
    </r>
    <r>
      <rPr>
        <b/>
        <vertAlign val="subscript"/>
        <sz val="10"/>
        <color indexed="63"/>
        <rFont val="Arial"/>
        <family val="2"/>
      </rPr>
      <t>V0.9</t>
    </r>
    <r>
      <rPr>
        <b/>
        <sz val="10"/>
        <color indexed="63"/>
        <rFont val="Arial"/>
        <family val="2"/>
      </rPr>
      <t>.</t>
    </r>
  </si>
  <si>
    <r>
      <t xml:space="preserve"> = Droplet Spectra Classification based on D</t>
    </r>
    <r>
      <rPr>
        <b/>
        <vertAlign val="subscript"/>
        <sz val="10"/>
        <color indexed="63"/>
        <rFont val="Arial"/>
        <family val="2"/>
      </rPr>
      <t>V0.1</t>
    </r>
    <r>
      <rPr>
        <b/>
        <sz val="10"/>
        <color indexed="63"/>
        <rFont val="Arial"/>
        <family val="2"/>
      </rPr>
      <t>.</t>
    </r>
  </si>
  <si>
    <r>
      <t xml:space="preserve"> = Droplet Spectra Classification based on D</t>
    </r>
    <r>
      <rPr>
        <b/>
        <vertAlign val="subscript"/>
        <sz val="10"/>
        <color indexed="63"/>
        <rFont val="Arial"/>
        <family val="2"/>
      </rPr>
      <t>V0.5</t>
    </r>
    <r>
      <rPr>
        <b/>
        <sz val="10"/>
        <color indexed="63"/>
        <rFont val="Arial"/>
        <family val="2"/>
      </rPr>
      <t>.</t>
    </r>
  </si>
  <si>
    <t>DSC =</t>
  </si>
  <si>
    <t>Airspeed Ranges</t>
  </si>
  <si>
    <t>Calculation Block</t>
  </si>
  <si>
    <t>DV0.1</t>
  </si>
  <si>
    <t>DV0.5</t>
  </si>
  <si>
    <t>Active Model Parameters</t>
  </si>
  <si>
    <t>DV0.9</t>
  </si>
  <si>
    <t>Orifice</t>
  </si>
  <si>
    <t>Angle</t>
  </si>
  <si>
    <t>Airspeed</t>
  </si>
  <si>
    <t xml:space="preserve">  Orifice Size</t>
  </si>
  <si>
    <t>Nozzle Angle</t>
  </si>
  <si>
    <t xml:space="preserve">   Airspeed</t>
  </si>
  <si>
    <t xml:space="preserve">  Pressure</t>
  </si>
  <si>
    <t>Columns</t>
  </si>
  <si>
    <t>Pressure</t>
  </si>
  <si>
    <t>VF/F</t>
  </si>
  <si>
    <t>F/M</t>
  </si>
  <si>
    <t>M/C</t>
  </si>
  <si>
    <t>C/VC</t>
  </si>
  <si>
    <t>VC/XC</t>
  </si>
  <si>
    <t>DSCV0.1</t>
  </si>
  <si>
    <t>DSCV0.5</t>
  </si>
  <si>
    <t>DSC</t>
  </si>
  <si>
    <t>0 to 90</t>
  </si>
  <si>
    <t>Acceptable Ranges:</t>
  </si>
  <si>
    <t>Orf</t>
  </si>
  <si>
    <t>Ang</t>
  </si>
  <si>
    <t>Press</t>
  </si>
  <si>
    <t>AS</t>
  </si>
  <si>
    <t>120 to 180 MPH</t>
  </si>
  <si>
    <t>Intercept</t>
  </si>
  <si>
    <t>Orf*Press</t>
  </si>
  <si>
    <t>Orf*AS</t>
  </si>
  <si>
    <t>AS*Press</t>
  </si>
  <si>
    <t>Orf*Ang</t>
  </si>
  <si>
    <t>AS*Ang</t>
  </si>
  <si>
    <t>Press*Ang</t>
  </si>
  <si>
    <t>Orf^2</t>
  </si>
  <si>
    <t>AS^2</t>
  </si>
  <si>
    <t>Press^</t>
  </si>
  <si>
    <t>Ang^2</t>
  </si>
  <si>
    <t>30 to 90 psi</t>
  </si>
  <si>
    <t>Orf*CCD</t>
  </si>
  <si>
    <t>AS*CCD</t>
  </si>
  <si>
    <t>Press*CCD</t>
  </si>
  <si>
    <t>Ang*CCD</t>
  </si>
  <si>
    <t>CCDSub</t>
  </si>
  <si>
    <t>CCDDiv</t>
  </si>
  <si>
    <t>Orf Sub</t>
  </si>
  <si>
    <t>Orf Div</t>
  </si>
  <si>
    <t>AS Sub</t>
  </si>
  <si>
    <t>AS Div</t>
  </si>
  <si>
    <t>Press Sub</t>
  </si>
  <si>
    <t>Press Div</t>
  </si>
  <si>
    <t>Ang Div</t>
  </si>
  <si>
    <t xml:space="preserve">Actual </t>
  </si>
  <si>
    <t>CCD Adjusted</t>
  </si>
  <si>
    <t>4 to 20</t>
  </si>
  <si>
    <t>4 to 30</t>
  </si>
  <si>
    <t>2 to 16</t>
  </si>
  <si>
    <t>2 to 10</t>
  </si>
  <si>
    <r>
      <t>CP11TT 20</t>
    </r>
    <r>
      <rPr>
        <sz val="10"/>
        <rFont val="Calibri"/>
        <family val="2"/>
      </rPr>
      <t>°</t>
    </r>
    <r>
      <rPr>
        <sz val="10"/>
        <rFont val="Arial"/>
        <family val="2"/>
      </rPr>
      <t xml:space="preserve"> Flat Fan</t>
    </r>
  </si>
  <si>
    <t>CP11TT 80° Flat Fan</t>
  </si>
  <si>
    <t>CP03</t>
  </si>
  <si>
    <t>CP11TT 40° Flat Fan</t>
  </si>
  <si>
    <t>Steel Disc Core 45</t>
  </si>
  <si>
    <r>
      <t>Standard 40</t>
    </r>
    <r>
      <rPr>
        <sz val="10"/>
        <rFont val="Calibri"/>
        <family val="2"/>
      </rPr>
      <t>°</t>
    </r>
    <r>
      <rPr>
        <sz val="8.5"/>
        <rFont val="Arial"/>
        <family val="2"/>
      </rPr>
      <t xml:space="preserve"> Flat Fan</t>
    </r>
  </si>
  <si>
    <r>
      <t>Standard 80</t>
    </r>
    <r>
      <rPr>
        <sz val="10"/>
        <rFont val="Calibri"/>
        <family val="2"/>
      </rPr>
      <t>°</t>
    </r>
    <r>
      <rPr>
        <sz val="8.5"/>
        <rFont val="Arial"/>
        <family val="2"/>
      </rPr>
      <t xml:space="preserve"> Flat Fan</t>
    </r>
  </si>
  <si>
    <t>2 to 30</t>
  </si>
  <si>
    <t>0.062 to 0.172</t>
  </si>
  <si>
    <t>CP11TT Straight Stream</t>
  </si>
  <si>
    <t>6 to 25</t>
  </si>
  <si>
    <t>0 to 45</t>
  </si>
  <si>
    <t>2 to 12</t>
  </si>
  <si>
    <t>Ceramic Disc Core 45</t>
  </si>
  <si>
    <t>%V&lt;200µm</t>
  </si>
  <si>
    <t xml:space="preserve"> = Percentage of spray volume in droplets smaller than 200 µm diameter.</t>
  </si>
  <si>
    <t>DSCV0.9</t>
  </si>
  <si>
    <r>
      <t>THE D</t>
    </r>
    <r>
      <rPr>
        <b/>
        <vertAlign val="subscript"/>
        <sz val="10"/>
        <color indexed="63"/>
        <rFont val="Arial"/>
        <family val="2"/>
      </rPr>
      <t>V0.9</t>
    </r>
    <r>
      <rPr>
        <b/>
        <sz val="10"/>
        <color indexed="63"/>
        <rFont val="Arial"/>
        <family val="2"/>
      </rPr>
      <t xml:space="preserve"> CLASSIFICATION SHOWN IS FOR REFERENCE ONLY, DOES NOT IMPACT DSC RATING.</t>
    </r>
  </si>
  <si>
    <t xml:space="preserve"> = Volume median diameter.  Droplet size such that 50% of the spray volume is in droplets smaller than DV0.5.</t>
  </si>
  <si>
    <t>The reference boundaries represent the mean data plus 1 standard deviation for DV0.1, DV0.5 and DV0.9 point for each DSC.</t>
  </si>
  <si>
    <t>Aerial Application Technology Research Unit, Agricultural Research Service, U. S. Department of Agriculture, 3103 F&amp;B Road, College Station, TX 77845, USA.</t>
  </si>
  <si>
    <t>30, 55, 90</t>
  </si>
  <si>
    <t>0.061 to 0.125</t>
  </si>
  <si>
    <t>Nozzles - FR = a*(P)^b</t>
  </si>
  <si>
    <t>CP11TT 20° Flat Fan</t>
  </si>
  <si>
    <t>a</t>
  </si>
  <si>
    <t>b</t>
  </si>
  <si>
    <t>NFR</t>
  </si>
  <si>
    <t>GPM</t>
  </si>
  <si>
    <t>Per Nozzle Flow Rate at Selected Operating Conditions</t>
  </si>
  <si>
    <t>ENTER DESIRED SPRAY RATE IN GALLONS PER ACRE (GPA)</t>
  </si>
  <si>
    <t>GPA</t>
  </si>
  <si>
    <t>Total Boom Flow Rate</t>
  </si>
  <si>
    <t>BFR</t>
  </si>
  <si>
    <t>ENTER DESIRED SWATH WIDTH IN FEET</t>
  </si>
  <si>
    <t>Feet</t>
  </si>
  <si>
    <t>swath</t>
  </si>
  <si>
    <t>SR</t>
  </si>
  <si>
    <t>mph</t>
  </si>
  <si>
    <t>Nozzles</t>
  </si>
  <si>
    <t>Total Number of Nozzle Needed</t>
  </si>
  <si>
    <t>Nozzle</t>
  </si>
  <si>
    <t>Standard 40° Flat Fan</t>
  </si>
  <si>
    <t>Standard 80° Flat Fan</t>
  </si>
  <si>
    <r>
      <t>D</t>
    </r>
    <r>
      <rPr>
        <b/>
        <vertAlign val="subscript"/>
        <sz val="14"/>
        <color indexed="63"/>
        <rFont val="Arial"/>
        <family val="2"/>
      </rPr>
      <t>V0.1</t>
    </r>
    <r>
      <rPr>
        <b/>
        <sz val="14"/>
        <color indexed="63"/>
        <rFont val="Arial"/>
        <family val="2"/>
      </rPr>
      <t xml:space="preserve"> =</t>
    </r>
  </si>
  <si>
    <r>
      <t>D</t>
    </r>
    <r>
      <rPr>
        <b/>
        <vertAlign val="subscript"/>
        <sz val="14"/>
        <color indexed="63"/>
        <rFont val="Arial"/>
        <family val="2"/>
      </rPr>
      <t>V0.5</t>
    </r>
    <r>
      <rPr>
        <b/>
        <sz val="14"/>
        <color indexed="63"/>
        <rFont val="Arial"/>
        <family val="2"/>
      </rPr>
      <t xml:space="preserve"> =</t>
    </r>
  </si>
  <si>
    <r>
      <t>D</t>
    </r>
    <r>
      <rPr>
        <b/>
        <vertAlign val="subscript"/>
        <sz val="14"/>
        <color indexed="63"/>
        <rFont val="Arial"/>
        <family val="2"/>
      </rPr>
      <t>V0.9</t>
    </r>
    <r>
      <rPr>
        <b/>
        <sz val="14"/>
        <color indexed="63"/>
        <rFont val="Arial"/>
        <family val="2"/>
      </rPr>
      <t xml:space="preserve"> =</t>
    </r>
  </si>
  <si>
    <r>
      <t>DSC</t>
    </r>
    <r>
      <rPr>
        <b/>
        <vertAlign val="subscript"/>
        <sz val="14"/>
        <color indexed="63"/>
        <rFont val="Arial"/>
        <family val="2"/>
      </rPr>
      <t>V0.1</t>
    </r>
    <r>
      <rPr>
        <b/>
        <sz val="14"/>
        <color indexed="63"/>
        <rFont val="Arial"/>
        <family val="2"/>
      </rPr>
      <t xml:space="preserve"> =</t>
    </r>
  </si>
  <si>
    <r>
      <t>DSC</t>
    </r>
    <r>
      <rPr>
        <b/>
        <vertAlign val="subscript"/>
        <sz val="14"/>
        <color indexed="63"/>
        <rFont val="Arial"/>
        <family val="2"/>
      </rPr>
      <t>V0.5</t>
    </r>
    <r>
      <rPr>
        <b/>
        <sz val="14"/>
        <color indexed="63"/>
        <rFont val="Arial"/>
        <family val="2"/>
      </rPr>
      <t xml:space="preserve"> =</t>
    </r>
  </si>
  <si>
    <r>
      <t>DSC</t>
    </r>
    <r>
      <rPr>
        <b/>
        <vertAlign val="subscript"/>
        <sz val="14"/>
        <color indexed="63"/>
        <rFont val="Arial"/>
        <family val="2"/>
      </rPr>
      <t>V0.9</t>
    </r>
    <r>
      <rPr>
        <b/>
        <sz val="14"/>
        <color indexed="63"/>
        <rFont val="Arial"/>
        <family val="2"/>
      </rPr>
      <t xml:space="preserve"> =</t>
    </r>
  </si>
  <si>
    <t>STEP 3: ENTER SPRAY RATE AND SWATH WIDTH</t>
  </si>
  <si>
    <r>
      <t>CP11TT 60</t>
    </r>
    <r>
      <rPr>
        <sz val="10"/>
        <rFont val="Calibri"/>
        <family val="2"/>
      </rPr>
      <t>°</t>
    </r>
    <r>
      <rPr>
        <sz val="10"/>
        <rFont val="Arial"/>
        <family val="2"/>
      </rPr>
      <t xml:space="preserve"> Flat Fan</t>
    </r>
  </si>
  <si>
    <t>XC/UC</t>
  </si>
  <si>
    <t>TeeJet SS</t>
  </si>
  <si>
    <t>TeeJet H1 4U</t>
  </si>
  <si>
    <t>2 to 20</t>
  </si>
  <si>
    <t>The reference nozzle data below was measured in accordance with the ANSI/ASAE S572.3 "Spray Nozzle Classification by Droplet Spectra" Standard.</t>
  </si>
  <si>
    <t xml:space="preserve"> = ASABE S572.3 Droplet Spectra Classification</t>
  </si>
  <si>
    <t>TriSet Deflection Only</t>
  </si>
  <si>
    <t>5, 30</t>
  </si>
  <si>
    <t>22.5, 45</t>
  </si>
  <si>
    <t>CP11TT 60° Flat Fan</t>
  </si>
  <si>
    <t>Ang Sub</t>
  </si>
  <si>
    <t>Range</t>
  </si>
  <si>
    <t>v1</t>
  </si>
  <si>
    <t>v2</t>
  </si>
  <si>
    <t>v3</t>
  </si>
  <si>
    <t>v4</t>
  </si>
  <si>
    <t>v5</t>
  </si>
  <si>
    <t>v6</t>
  </si>
  <si>
    <t>v7</t>
  </si>
  <si>
    <t>v8</t>
  </si>
  <si>
    <t>v9</t>
  </si>
  <si>
    <t>v10</t>
  </si>
  <si>
    <t>v11</t>
  </si>
  <si>
    <t>v12</t>
  </si>
  <si>
    <t>v13</t>
  </si>
  <si>
    <t>v14</t>
  </si>
  <si>
    <t>Text</t>
  </si>
  <si>
    <t>v15</t>
  </si>
  <si>
    <t>High</t>
  </si>
  <si>
    <t>Low</t>
  </si>
  <si>
    <t>STEP 2: SELECT NOZZLE MODEL USING PULL DOWN MENU</t>
  </si>
  <si>
    <t xml:space="preserve">STEP 3: SELECT NOZZLE OPERATING PARAMETERS FROM PULLDOWN MENUS BELOW.  </t>
  </si>
  <si>
    <t>STEP 1: SELECT AIRSPEED RANGE USING PULL DOWN MENU</t>
  </si>
  <si>
    <t>HIGH = VALID RANGE 120 - 180 MPH</t>
  </si>
  <si>
    <t>SelectedAirspeed</t>
  </si>
  <si>
    <t>SelectedNozzle</t>
  </si>
  <si>
    <t>Steel Disc Core Straight Stream</t>
  </si>
  <si>
    <t>Ceramic Disc Core Straight Stream</t>
  </si>
  <si>
    <t>CP11TT 110° Flat Fan</t>
  </si>
  <si>
    <t>CCD Values HS</t>
  </si>
  <si>
    <t>CCD Values LS</t>
  </si>
  <si>
    <t>LS Models Available</t>
  </si>
  <si>
    <t>HS Models Available</t>
  </si>
  <si>
    <t>Nozzle Pulldown List Values</t>
  </si>
  <si>
    <t>DV0.1 Params HS</t>
  </si>
  <si>
    <t>DV0.1 Params LS</t>
  </si>
  <si>
    <t>DV0.5 Params HS</t>
  </si>
  <si>
    <t>DV05 Params LS</t>
  </si>
  <si>
    <t>DV0.9 Params LS</t>
  </si>
  <si>
    <t>DV0.9 Params HS</t>
  </si>
  <si>
    <t>Less100 Params HS</t>
  </si>
  <si>
    <t>Less100 Params LS</t>
  </si>
  <si>
    <t>Less200 Params HS</t>
  </si>
  <si>
    <t>Less200 Params LS</t>
  </si>
  <si>
    <t>Airspeed Range HS</t>
  </si>
  <si>
    <t>Pressure Range HS</t>
  </si>
  <si>
    <t>Angles HS</t>
  </si>
  <si>
    <t>Airspeed Range LS</t>
  </si>
  <si>
    <t>30 to 60 psi</t>
  </si>
  <si>
    <t>30 to 90</t>
  </si>
  <si>
    <t>Pressure Ranges LS</t>
  </si>
  <si>
    <t>Angles LS</t>
  </si>
  <si>
    <t>0 to 15</t>
  </si>
  <si>
    <t>5 and 30</t>
  </si>
  <si>
    <t>22.5 and 45</t>
  </si>
  <si>
    <t>0 Only</t>
  </si>
  <si>
    <t>50 to 120 MPH</t>
  </si>
  <si>
    <t>70 to 120 MPH</t>
  </si>
  <si>
    <t>AngleTest</t>
  </si>
  <si>
    <t>OrificeTest</t>
  </si>
  <si>
    <t>Deflector Angle</t>
  </si>
  <si>
    <t>No Deflection</t>
  </si>
  <si>
    <t>Angle Selection Text</t>
  </si>
  <si>
    <t>Angle Range Text</t>
  </si>
  <si>
    <t>Pressure Range Text</t>
  </si>
  <si>
    <t>Airspeed Range Text</t>
  </si>
  <si>
    <t>50 to 120 mph</t>
  </si>
  <si>
    <t>120 to 180 mph</t>
  </si>
  <si>
    <t>70 to 120 mph</t>
  </si>
  <si>
    <t>Orifice Range Text</t>
  </si>
  <si>
    <t>USDA ARS  Aerial Application Technology Research Unit Spray Nozzle Models</t>
  </si>
  <si>
    <t>CAS LF-5 Deflection Only</t>
  </si>
  <si>
    <t>CAS LF-5 Straight Stream</t>
  </si>
  <si>
    <t>0.067 to 0.144</t>
  </si>
  <si>
    <t>15, 30</t>
  </si>
  <si>
    <t>AFS Straight Stream</t>
  </si>
  <si>
    <t>0.028 to 0.166</t>
  </si>
  <si>
    <t>TriSet Straight Stream</t>
  </si>
  <si>
    <t>CP-01-03</t>
  </si>
  <si>
    <t>CP-07-3E Deflection Only</t>
  </si>
  <si>
    <t>CP-09 Straight Stream</t>
  </si>
  <si>
    <t>CP-07-3E Straight Stream</t>
  </si>
  <si>
    <t>SelectedOrifice</t>
  </si>
  <si>
    <t>CP-03</t>
  </si>
  <si>
    <t>CP-09 Deflection Only</t>
  </si>
  <si>
    <t>4, 6, 8</t>
  </si>
  <si>
    <t xml:space="preserve"> DISCLAIMER: Nozzle flowrates and numbers needed are provided for informational purposes only are not garaunteed accurate and do not imply swath uniformity or coverage.  Applicators are encouraged to attend an Operation S.A.F.E. Clinic.</t>
  </si>
  <si>
    <t>LOW = VALID RANGE 50 - 120 MPH</t>
  </si>
  <si>
    <t>AccuFlow Single Row</t>
  </si>
  <si>
    <t>AccuFlow Double Row</t>
  </si>
  <si>
    <t>0.016 to 0.085</t>
  </si>
  <si>
    <t>0.016 to 0.033</t>
  </si>
  <si>
    <t>Restrictor</t>
  </si>
  <si>
    <t>.094 to .279</t>
  </si>
  <si>
    <t>25 to 60 psi</t>
  </si>
  <si>
    <t>SelectedRestrictor</t>
  </si>
  <si>
    <t>Pressure Test</t>
  </si>
  <si>
    <t>AS Test</t>
  </si>
  <si>
    <r>
      <rPr>
        <b/>
        <i/>
        <sz val="12"/>
        <rFont val="Arial"/>
        <family val="2"/>
      </rPr>
      <t>NOTE</t>
    </r>
    <r>
      <rPr>
        <i/>
        <sz val="12"/>
        <rFont val="Arial"/>
        <family val="2"/>
      </rPr>
      <t>: Pressure and Airspeed can be Selected from Pulldown List, Or by Typing any Value in Valid Range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</si>
</sst>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7">
    <font>
      <sz val="10"/>
      <name val="Arial"/>
    </font>
    <font>
      <b/>
      <sz val="10"/>
      <name val="Arial"/>
      <family val="2"/>
    </font>
    <font>
      <sz val="6"/>
      <name val="Arial"/>
      <family val="2"/>
    </font>
    <font>
      <b/>
      <sz val="12"/>
      <name val="Arial"/>
      <family val="2"/>
    </font>
    <font>
      <b/>
      <sz val="10"/>
      <color indexed="10"/>
      <name val="Arial"/>
      <family val="2"/>
    </font>
    <font>
      <sz val="10"/>
      <color indexed="9"/>
      <name val="Arial"/>
      <family val="2"/>
    </font>
    <font>
      <b/>
      <sz val="10"/>
      <color indexed="9"/>
      <name val="Arial"/>
      <family val="2"/>
    </font>
    <font>
      <b/>
      <sz val="14"/>
      <color indexed="10"/>
      <name val="Arial"/>
      <family val="2"/>
    </font>
    <font>
      <b/>
      <sz val="10"/>
      <color indexed="63"/>
      <name val="Arial"/>
      <family val="2"/>
    </font>
    <font>
      <b/>
      <vertAlign val="subscript"/>
      <sz val="10"/>
      <color indexed="63"/>
      <name val="Arial"/>
      <family val="2"/>
    </font>
    <font>
      <sz val="10"/>
      <color indexed="63"/>
      <name val="Arial"/>
      <family val="2"/>
    </font>
    <font>
      <b/>
      <sz val="10"/>
      <color indexed="63"/>
      <name val="Arial"/>
      <family val="2"/>
    </font>
    <font>
      <sz val="10"/>
      <color indexed="63"/>
      <name val="Arial"/>
      <family val="2"/>
    </font>
    <font>
      <sz val="8"/>
      <color indexed="63"/>
      <name val="Arial"/>
      <family val="2"/>
    </font>
    <font>
      <sz val="6"/>
      <color indexed="63"/>
      <name val="Arial"/>
      <family val="2"/>
    </font>
    <font>
      <b/>
      <sz val="10"/>
      <name val="Arial"/>
      <family val="2"/>
    </font>
    <font>
      <sz val="10"/>
      <name val="Arial"/>
      <family val="2"/>
    </font>
    <font>
      <b/>
      <sz val="11"/>
      <color theme="1"/>
      <name val="Calibri"/>
      <family val="2"/>
      <scheme val="minor"/>
    </font>
    <font>
      <b/>
      <sz val="10"/>
      <color rgb="FF002060"/>
      <name val="Arial"/>
      <family val="2"/>
    </font>
    <font>
      <sz val="10"/>
      <color rgb="FF002060"/>
      <name val="Arial"/>
      <family val="2"/>
    </font>
    <font>
      <sz val="10"/>
      <color rgb="FFC00000"/>
      <name val="Arial"/>
      <family val="2"/>
    </font>
    <font>
      <b/>
      <sz val="10"/>
      <color rgb="FFC00000"/>
      <name val="Arial"/>
      <family val="2"/>
    </font>
    <font>
      <b/>
      <sz val="14"/>
      <name val="Arial"/>
      <family val="2"/>
    </font>
    <font>
      <b/>
      <sz val="11"/>
      <name val="Arial"/>
      <family val="2"/>
    </font>
    <font>
      <b/>
      <sz val="10"/>
      <color theme="1"/>
      <name val="Calibri"/>
      <family val="2"/>
      <scheme val="minor"/>
    </font>
    <font>
      <b/>
      <sz val="16"/>
      <name val="Arial"/>
      <family val="2"/>
    </font>
    <font>
      <sz val="12"/>
      <name val="Arial"/>
      <family val="2"/>
    </font>
    <font>
      <b/>
      <sz val="16"/>
      <color theme="0"/>
      <name val="Arial"/>
      <family val="2"/>
    </font>
    <font>
      <sz val="7"/>
      <name val="Arial"/>
      <family val="2"/>
    </font>
    <font>
      <sz val="7"/>
      <name val="Helvetica"/>
      <family val="2"/>
    </font>
    <font>
      <sz val="14"/>
      <name val="Arial"/>
      <family val="2"/>
    </font>
    <font>
      <sz val="12"/>
      <color indexed="8"/>
      <name val="Arial"/>
      <family val="2"/>
    </font>
    <font>
      <b/>
      <sz val="12"/>
      <color indexed="8"/>
      <name val="Arial"/>
      <family val="2"/>
    </font>
    <font>
      <sz val="12"/>
      <color rgb="FFC00000"/>
      <name val="Arial"/>
      <family val="2"/>
    </font>
    <font>
      <sz val="10"/>
      <name val="Calibri"/>
      <family val="2"/>
    </font>
    <font>
      <sz val="8.5"/>
      <name val="Arial"/>
      <family val="2"/>
    </font>
    <font>
      <sz val="12"/>
      <color indexed="9"/>
      <name val="Arial"/>
      <family val="2"/>
    </font>
    <font>
      <sz val="12"/>
      <color indexed="63"/>
      <name val="Arial"/>
      <family val="2"/>
    </font>
    <font>
      <b/>
      <sz val="16"/>
      <color rgb="FF002060"/>
      <name val="Arial"/>
      <family val="2"/>
    </font>
    <font>
      <b/>
      <sz val="14"/>
      <color indexed="63"/>
      <name val="Arial"/>
      <family val="2"/>
    </font>
    <font>
      <b/>
      <vertAlign val="subscript"/>
      <sz val="14"/>
      <color indexed="63"/>
      <name val="Arial"/>
      <family val="2"/>
    </font>
    <font>
      <b/>
      <sz val="14"/>
      <color indexed="63"/>
      <name val="Comic Sans MS"/>
      <family val="4"/>
    </font>
    <font>
      <sz val="14"/>
      <color indexed="63"/>
      <name val="Arial"/>
      <family val="2"/>
    </font>
    <font>
      <i/>
      <sz val="14"/>
      <color rgb="FFFF0000"/>
      <name val="Helvetica"/>
      <family val="2"/>
    </font>
    <font>
      <u/>
      <sz val="10"/>
      <color theme="10"/>
      <name val="Arial"/>
      <family val="2"/>
    </font>
    <font>
      <u/>
      <sz val="10"/>
      <color theme="11"/>
      <name val="Arial"/>
      <family val="2"/>
    </font>
    <font>
      <sz val="10"/>
      <color theme="1"/>
      <name val="Arial"/>
      <family val="2"/>
    </font>
    <font>
      <b/>
      <sz val="10"/>
      <color theme="0"/>
      <name val="Arial"/>
      <family val="2"/>
    </font>
    <font>
      <b/>
      <sz val="20"/>
      <color theme="0"/>
      <name val="Arial"/>
      <family val="2"/>
    </font>
    <font>
      <sz val="11"/>
      <color theme="1"/>
      <name val="Calibri"/>
      <family val="2"/>
      <scheme val="minor"/>
    </font>
    <font>
      <sz val="10"/>
      <color theme="1"/>
      <name val="Calibri"/>
      <family val="2"/>
      <scheme val="minor"/>
    </font>
    <font>
      <sz val="8"/>
      <name val="Arial"/>
      <family val="2"/>
    </font>
    <font>
      <sz val="12"/>
      <color rgb="FF000000"/>
      <name val="Arial"/>
      <family val="2"/>
    </font>
    <font>
      <sz val="10"/>
      <color theme="0"/>
      <name val="Calibri"/>
      <family val="2"/>
      <scheme val="minor"/>
    </font>
    <font>
      <sz val="10"/>
      <color theme="0"/>
      <name val="Arial"/>
      <family val="2"/>
    </font>
    <font>
      <i/>
      <sz val="12"/>
      <name val="Arial"/>
      <family val="2"/>
    </font>
    <font>
      <b/>
      <i/>
      <sz val="12"/>
      <name val="Arial"/>
      <family val="2"/>
    </font>
  </fonts>
  <fills count="10">
    <fill>
      <patternFill patternType="none"/>
    </fill>
    <fill>
      <patternFill patternType="gray125"/>
    </fill>
    <fill>
      <patternFill patternType="solid">
        <fgColor indexed="9"/>
        <bgColor indexed="64"/>
      </patternFill>
    </fill>
    <fill>
      <patternFill patternType="solid">
        <fgColor rgb="FF008000"/>
        <bgColor indexed="64"/>
      </patternFill>
    </fill>
    <fill>
      <patternFill patternType="solid">
        <fgColor theme="0"/>
        <bgColor indexed="64"/>
      </patternFill>
    </fill>
    <fill>
      <patternFill patternType="solid">
        <fgColor rgb="FFFFFF00"/>
        <bgColor indexed="64"/>
      </patternFill>
    </fill>
    <fill>
      <patternFill patternType="solid">
        <fgColor theme="2"/>
        <bgColor indexed="64"/>
      </patternFill>
    </fill>
    <fill>
      <patternFill patternType="solid">
        <fgColor theme="1"/>
        <bgColor indexed="64"/>
      </patternFill>
    </fill>
    <fill>
      <patternFill patternType="solid">
        <fgColor rgb="FFDCE6F1"/>
        <bgColor rgb="FFDCE6F1"/>
      </patternFill>
    </fill>
    <fill>
      <patternFill patternType="solid">
        <fgColor theme="3" tint="-0.499984740745262"/>
        <bgColor indexed="64"/>
      </patternFill>
    </fill>
  </fills>
  <borders count="21">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bottom style="medium">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medium">
        <color auto="1"/>
      </top>
      <bottom/>
      <diagonal/>
    </border>
    <border>
      <left style="thin">
        <color auto="1"/>
      </left>
      <right/>
      <top/>
      <bottom/>
      <diagonal/>
    </border>
    <border>
      <left/>
      <right style="thin">
        <color auto="1"/>
      </right>
      <top style="medium">
        <color auto="1"/>
      </top>
      <bottom/>
      <diagonal/>
    </border>
    <border>
      <left/>
      <right style="thin">
        <color auto="1"/>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95B3D7"/>
      </left>
      <right/>
      <top style="thin">
        <color rgb="FF95B3D7"/>
      </top>
      <bottom style="thin">
        <color rgb="FF95B3D7"/>
      </bottom>
      <diagonal/>
    </border>
  </borders>
  <cellStyleXfs count="15">
    <xf numFmtId="0" fontId="0" fillId="0" borderId="0"/>
    <xf numFmtId="0" fontId="44"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xf numFmtId="0" fontId="44" fillId="0" borderId="0" applyNumberFormat="0" applyFill="0" applyBorder="0" applyAlignment="0" applyProtection="0"/>
    <xf numFmtId="0" fontId="45" fillId="0" borderId="0" applyNumberFormat="0" applyFill="0" applyBorder="0" applyAlignment="0" applyProtection="0"/>
  </cellStyleXfs>
  <cellXfs count="223">
    <xf numFmtId="0" fontId="0" fillId="0" borderId="0" xfId="0"/>
    <xf numFmtId="0" fontId="0" fillId="2" borderId="0" xfId="0" applyFill="1"/>
    <xf numFmtId="0" fontId="1" fillId="2" borderId="0" xfId="0" applyFont="1" applyFill="1"/>
    <xf numFmtId="2" fontId="1" fillId="2" borderId="0" xfId="0" applyNumberFormat="1" applyFont="1" applyFill="1"/>
    <xf numFmtId="0" fontId="4" fillId="2" borderId="0" xfId="0" applyFont="1" applyFill="1" applyAlignment="1">
      <alignment horizontal="center" textRotation="90"/>
    </xf>
    <xf numFmtId="0" fontId="5" fillId="2" borderId="0" xfId="0" applyFont="1" applyFill="1"/>
    <xf numFmtId="2" fontId="6" fillId="2" borderId="0" xfId="0" applyNumberFormat="1" applyFont="1" applyFill="1"/>
    <xf numFmtId="0" fontId="16" fillId="0" borderId="0" xfId="0" applyFont="1"/>
    <xf numFmtId="0" fontId="16" fillId="0" borderId="0" xfId="0" applyFont="1" applyAlignment="1">
      <alignment horizontal="center"/>
    </xf>
    <xf numFmtId="1" fontId="16" fillId="0" borderId="0" xfId="0" applyNumberFormat="1" applyFont="1"/>
    <xf numFmtId="0" fontId="0" fillId="0" borderId="2" xfId="0" applyBorder="1"/>
    <xf numFmtId="0" fontId="0" fillId="0" borderId="3" xfId="0" applyBorder="1"/>
    <xf numFmtId="0" fontId="0" fillId="0" borderId="6" xfId="0" applyBorder="1"/>
    <xf numFmtId="0" fontId="0" fillId="0" borderId="4" xfId="0" applyBorder="1"/>
    <xf numFmtId="0" fontId="0" fillId="0" borderId="8" xfId="0" applyBorder="1"/>
    <xf numFmtId="0" fontId="0" fillId="3" borderId="0" xfId="0" applyFill="1"/>
    <xf numFmtId="0" fontId="2" fillId="3" borderId="0" xfId="0" applyFont="1" applyFill="1" applyAlignment="1">
      <alignment horizontal="center"/>
    </xf>
    <xf numFmtId="0" fontId="1" fillId="3" borderId="0" xfId="0" applyFont="1" applyFill="1"/>
    <xf numFmtId="2" fontId="1" fillId="3" borderId="0" xfId="0" applyNumberFormat="1" applyFont="1" applyFill="1"/>
    <xf numFmtId="0" fontId="0" fillId="4" borderId="0" xfId="0" applyFill="1"/>
    <xf numFmtId="0" fontId="16" fillId="4" borderId="0" xfId="0" applyFont="1" applyFill="1" applyAlignment="1">
      <alignment horizontal="center"/>
    </xf>
    <xf numFmtId="0" fontId="0" fillId="4" borderId="1" xfId="0" applyFill="1" applyBorder="1"/>
    <xf numFmtId="0" fontId="0" fillId="4" borderId="2" xfId="0" applyFill="1" applyBorder="1"/>
    <xf numFmtId="0" fontId="0" fillId="4" borderId="3" xfId="0" applyFill="1" applyBorder="1"/>
    <xf numFmtId="0" fontId="11" fillId="4" borderId="0" xfId="0" applyFont="1" applyFill="1"/>
    <xf numFmtId="0" fontId="12" fillId="4" borderId="0" xfId="0" applyFont="1" applyFill="1"/>
    <xf numFmtId="0" fontId="12" fillId="4" borderId="6" xfId="0" applyFont="1" applyFill="1" applyBorder="1"/>
    <xf numFmtId="0" fontId="8" fillId="4" borderId="0" xfId="0" applyFont="1" applyFill="1"/>
    <xf numFmtId="0" fontId="20" fillId="4" borderId="2" xfId="0" applyFont="1" applyFill="1" applyBorder="1"/>
    <xf numFmtId="0" fontId="21" fillId="4" borderId="2" xfId="0" applyFont="1" applyFill="1" applyBorder="1"/>
    <xf numFmtId="0" fontId="0" fillId="0" borderId="1" xfId="0" applyBorder="1"/>
    <xf numFmtId="0" fontId="16" fillId="0" borderId="5" xfId="0" applyFont="1" applyBorder="1"/>
    <xf numFmtId="0" fontId="16" fillId="0" borderId="7" xfId="0" applyFont="1" applyBorder="1"/>
    <xf numFmtId="0" fontId="0" fillId="0" borderId="10" xfId="0" applyBorder="1"/>
    <xf numFmtId="0" fontId="24" fillId="0" borderId="0" xfId="0" applyFont="1" applyAlignment="1">
      <alignment vertical="center" wrapText="1"/>
    </xf>
    <xf numFmtId="0" fontId="16" fillId="0" borderId="11" xfId="0" applyFont="1" applyBorder="1"/>
    <xf numFmtId="0" fontId="16" fillId="0" borderId="12" xfId="0" applyFont="1" applyBorder="1"/>
    <xf numFmtId="0" fontId="24" fillId="0" borderId="5" xfId="0" applyFont="1" applyBorder="1" applyAlignment="1">
      <alignment vertical="center" wrapText="1"/>
    </xf>
    <xf numFmtId="0" fontId="16" fillId="0" borderId="6" xfId="0" applyFont="1" applyBorder="1"/>
    <xf numFmtId="0" fontId="16" fillId="0" borderId="4" xfId="0" applyFont="1" applyBorder="1"/>
    <xf numFmtId="0" fontId="8" fillId="0" borderId="0" xfId="0" applyFont="1" applyAlignment="1">
      <alignment horizontal="right"/>
    </xf>
    <xf numFmtId="0" fontId="11" fillId="0" borderId="0" xfId="0" applyFont="1" applyAlignment="1">
      <alignment horizontal="right"/>
    </xf>
    <xf numFmtId="2" fontId="0" fillId="0" borderId="0" xfId="0" applyNumberFormat="1" applyAlignment="1">
      <alignment horizontal="center"/>
    </xf>
    <xf numFmtId="0" fontId="0" fillId="0" borderId="0" xfId="0" applyAlignment="1">
      <alignment horizontal="center"/>
    </xf>
    <xf numFmtId="0" fontId="8" fillId="0" borderId="0" xfId="0" applyFont="1" applyAlignment="1" applyProtection="1">
      <alignment horizontal="left"/>
      <protection hidden="1"/>
    </xf>
    <xf numFmtId="0" fontId="16" fillId="4" borderId="0" xfId="0" applyFont="1" applyFill="1"/>
    <xf numFmtId="0" fontId="5" fillId="4" borderId="0" xfId="0" applyFont="1" applyFill="1"/>
    <xf numFmtId="0" fontId="15" fillId="4" borderId="0" xfId="0" applyFont="1" applyFill="1"/>
    <xf numFmtId="2" fontId="15" fillId="4" borderId="0" xfId="0" applyNumberFormat="1" applyFont="1" applyFill="1"/>
    <xf numFmtId="0" fontId="3" fillId="4" borderId="0" xfId="0" applyFont="1" applyFill="1" applyAlignment="1">
      <alignment horizontal="center"/>
    </xf>
    <xf numFmtId="0" fontId="15" fillId="4" borderId="0" xfId="0" applyFont="1" applyFill="1" applyAlignment="1">
      <alignment horizontal="center"/>
    </xf>
    <xf numFmtId="1" fontId="15" fillId="4" borderId="0" xfId="0" applyNumberFormat="1" applyFont="1" applyFill="1" applyProtection="1">
      <protection hidden="1"/>
    </xf>
    <xf numFmtId="0" fontId="16" fillId="4" borderId="0" xfId="0" applyFont="1" applyFill="1" applyProtection="1">
      <protection hidden="1"/>
    </xf>
    <xf numFmtId="2" fontId="15" fillId="4" borderId="0" xfId="0" applyNumberFormat="1" applyFont="1" applyFill="1" applyProtection="1">
      <protection hidden="1"/>
    </xf>
    <xf numFmtId="0" fontId="28" fillId="3" borderId="0" xfId="0" applyFont="1" applyFill="1"/>
    <xf numFmtId="0" fontId="29" fillId="3" borderId="0" xfId="0" applyFont="1" applyFill="1" applyAlignment="1">
      <alignment horizontal="center"/>
    </xf>
    <xf numFmtId="0" fontId="28" fillId="3" borderId="0" xfId="0" applyFont="1" applyFill="1" applyAlignment="1">
      <alignment horizontal="center"/>
    </xf>
    <xf numFmtId="0" fontId="0" fillId="3" borderId="1" xfId="0" applyFill="1" applyBorder="1"/>
    <xf numFmtId="0" fontId="1" fillId="3" borderId="2" xfId="0" applyFont="1" applyFill="1" applyBorder="1"/>
    <xf numFmtId="2" fontId="1" fillId="3" borderId="2" xfId="0" applyNumberFormat="1" applyFont="1" applyFill="1" applyBorder="1"/>
    <xf numFmtId="0" fontId="0" fillId="3" borderId="2" xfId="0" applyFill="1" applyBorder="1"/>
    <xf numFmtId="0" fontId="0" fillId="3" borderId="3" xfId="0" applyFill="1" applyBorder="1"/>
    <xf numFmtId="0" fontId="0" fillId="3" borderId="5" xfId="0" applyFill="1" applyBorder="1"/>
    <xf numFmtId="0" fontId="0" fillId="3" borderId="6" xfId="0" applyFill="1" applyBorder="1"/>
    <xf numFmtId="0" fontId="28" fillId="3" borderId="6" xfId="0" applyFont="1" applyFill="1" applyBorder="1"/>
    <xf numFmtId="0" fontId="5" fillId="3" borderId="5" xfId="0" applyFont="1" applyFill="1" applyBorder="1"/>
    <xf numFmtId="0" fontId="13" fillId="3" borderId="6" xfId="0" applyFont="1" applyFill="1" applyBorder="1"/>
    <xf numFmtId="0" fontId="10" fillId="3" borderId="7" xfId="0" applyFont="1" applyFill="1" applyBorder="1"/>
    <xf numFmtId="0" fontId="10" fillId="3" borderId="4" xfId="0" applyFont="1" applyFill="1" applyBorder="1"/>
    <xf numFmtId="0" fontId="14" fillId="3" borderId="4" xfId="0" applyFont="1" applyFill="1" applyBorder="1" applyAlignment="1">
      <alignment horizontal="center"/>
    </xf>
    <xf numFmtId="0" fontId="10" fillId="3" borderId="8" xfId="0" applyFont="1" applyFill="1" applyBorder="1"/>
    <xf numFmtId="0" fontId="18" fillId="4" borderId="1" xfId="0" applyFont="1" applyFill="1" applyBorder="1"/>
    <xf numFmtId="0" fontId="19" fillId="4" borderId="2" xfId="0" applyFont="1" applyFill="1" applyBorder="1"/>
    <xf numFmtId="0" fontId="19" fillId="4" borderId="3" xfId="0" applyFont="1" applyFill="1" applyBorder="1"/>
    <xf numFmtId="0" fontId="0" fillId="4" borderId="5" xfId="0" applyFill="1" applyBorder="1"/>
    <xf numFmtId="0" fontId="0" fillId="4" borderId="6" xfId="0" applyFill="1" applyBorder="1"/>
    <xf numFmtId="0" fontId="26" fillId="4" borderId="5" xfId="0" applyFont="1" applyFill="1" applyBorder="1"/>
    <xf numFmtId="0" fontId="26" fillId="4" borderId="0" xfId="0" applyFont="1" applyFill="1"/>
    <xf numFmtId="0" fontId="31" fillId="4" borderId="0" xfId="0" applyFont="1" applyFill="1"/>
    <xf numFmtId="0" fontId="18" fillId="4" borderId="2" xfId="0" applyFont="1" applyFill="1" applyBorder="1"/>
    <xf numFmtId="0" fontId="3" fillId="4" borderId="0" xfId="0" applyFont="1" applyFill="1" applyAlignment="1">
      <alignment horizontal="center" vertical="center"/>
    </xf>
    <xf numFmtId="0" fontId="26" fillId="4" borderId="0" xfId="0" applyFont="1" applyFill="1" applyAlignment="1">
      <alignment horizontal="center" vertical="center"/>
    </xf>
    <xf numFmtId="0" fontId="32" fillId="4" borderId="9" xfId="0" applyFont="1" applyFill="1" applyBorder="1" applyAlignment="1" applyProtection="1">
      <alignment horizontal="center" vertical="center"/>
      <protection locked="0"/>
    </xf>
    <xf numFmtId="0" fontId="26" fillId="4" borderId="0" xfId="0" applyFont="1" applyFill="1" applyAlignment="1">
      <alignment vertical="center"/>
    </xf>
    <xf numFmtId="0" fontId="33" fillId="4" borderId="0" xfId="0" applyFont="1" applyFill="1"/>
    <xf numFmtId="0" fontId="30" fillId="3" borderId="0" xfId="0" applyFont="1" applyFill="1"/>
    <xf numFmtId="0" fontId="16" fillId="5" borderId="0" xfId="0" applyFont="1" applyFill="1"/>
    <xf numFmtId="0" fontId="0" fillId="5" borderId="0" xfId="0" applyFill="1"/>
    <xf numFmtId="164" fontId="0" fillId="0" borderId="0" xfId="0" applyNumberFormat="1" applyAlignment="1">
      <alignment horizontal="center"/>
    </xf>
    <xf numFmtId="0" fontId="16" fillId="0" borderId="1" xfId="0" applyFont="1" applyBorder="1"/>
    <xf numFmtId="0" fontId="0" fillId="0" borderId="13" xfId="0" applyBorder="1"/>
    <xf numFmtId="0" fontId="0" fillId="0" borderId="14" xfId="0" applyBorder="1"/>
    <xf numFmtId="0" fontId="0" fillId="0" borderId="15" xfId="0" applyBorder="1"/>
    <xf numFmtId="0" fontId="0" fillId="0" borderId="16" xfId="0" applyBorder="1"/>
    <xf numFmtId="0" fontId="4" fillId="2" borderId="0" xfId="0" applyFont="1" applyFill="1" applyAlignment="1">
      <alignment horizontal="center" vertical="center" textRotation="90"/>
    </xf>
    <xf numFmtId="0" fontId="0" fillId="3" borderId="5" xfId="0" applyFill="1" applyBorder="1" applyAlignment="1">
      <alignment horizontal="center" vertical="center"/>
    </xf>
    <xf numFmtId="0" fontId="0" fillId="4" borderId="5" xfId="0" applyFill="1" applyBorder="1" applyAlignment="1">
      <alignment horizontal="center" vertical="center"/>
    </xf>
    <xf numFmtId="0" fontId="0" fillId="3" borderId="6" xfId="0" applyFill="1" applyBorder="1" applyAlignment="1">
      <alignment horizontal="center" vertical="center"/>
    </xf>
    <xf numFmtId="0" fontId="0" fillId="4" borderId="0" xfId="0" applyFill="1" applyAlignment="1">
      <alignment horizontal="center" vertical="center"/>
    </xf>
    <xf numFmtId="0" fontId="16" fillId="4" borderId="0" xfId="0" applyFont="1" applyFill="1" applyAlignment="1" applyProtection="1">
      <alignment horizontal="center" vertical="center"/>
      <protection hidden="1"/>
    </xf>
    <xf numFmtId="0" fontId="16" fillId="4" borderId="0" xfId="0" applyFont="1" applyFill="1" applyAlignment="1">
      <alignment horizontal="center" vertical="center"/>
    </xf>
    <xf numFmtId="0" fontId="5" fillId="4" borderId="0" xfId="0" applyFont="1" applyFill="1" applyAlignment="1">
      <alignment horizontal="center" vertical="center"/>
    </xf>
    <xf numFmtId="0" fontId="5" fillId="2" borderId="0" xfId="0" applyFont="1" applyFill="1"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xf>
    <xf numFmtId="0" fontId="0" fillId="2" borderId="0" xfId="0" applyFill="1" applyAlignment="1">
      <alignment vertical="center"/>
    </xf>
    <xf numFmtId="0" fontId="0" fillId="3" borderId="5" xfId="0" applyFill="1" applyBorder="1" applyAlignment="1">
      <alignment vertical="center"/>
    </xf>
    <xf numFmtId="0" fontId="0" fillId="3" borderId="6" xfId="0" applyFill="1" applyBorder="1" applyAlignment="1">
      <alignment vertical="center"/>
    </xf>
    <xf numFmtId="0" fontId="16" fillId="4" borderId="0" xfId="0" applyFont="1" applyFill="1" applyAlignment="1">
      <alignment vertical="center"/>
    </xf>
    <xf numFmtId="2" fontId="15" fillId="4" borderId="0" xfId="0" applyNumberFormat="1" applyFont="1" applyFill="1" applyAlignment="1">
      <alignment vertical="center"/>
    </xf>
    <xf numFmtId="0" fontId="5" fillId="4" borderId="0" xfId="0" applyFont="1" applyFill="1" applyAlignment="1">
      <alignment vertical="center"/>
    </xf>
    <xf numFmtId="0" fontId="5" fillId="2" borderId="0" xfId="0" applyFont="1" applyFill="1" applyAlignment="1">
      <alignment vertical="center"/>
    </xf>
    <xf numFmtId="0" fontId="0" fillId="0" borderId="0" xfId="0" applyAlignment="1">
      <alignment vertical="center"/>
    </xf>
    <xf numFmtId="0" fontId="16" fillId="0" borderId="0" xfId="0" applyFont="1" applyAlignment="1">
      <alignment wrapText="1"/>
    </xf>
    <xf numFmtId="0" fontId="26" fillId="0" borderId="0" xfId="0" applyFont="1"/>
    <xf numFmtId="0" fontId="26" fillId="4" borderId="6" xfId="0" applyFont="1" applyFill="1" applyBorder="1"/>
    <xf numFmtId="0" fontId="3" fillId="4" borderId="0" xfId="0" applyFont="1" applyFill="1"/>
    <xf numFmtId="0" fontId="26" fillId="4" borderId="0" xfId="0" applyFont="1" applyFill="1" applyAlignment="1">
      <alignment horizontal="center"/>
    </xf>
    <xf numFmtId="0" fontId="36" fillId="4" borderId="7" xfId="0" applyFont="1" applyFill="1" applyBorder="1"/>
    <xf numFmtId="0" fontId="36" fillId="4" borderId="4" xfId="0" applyFont="1" applyFill="1" applyBorder="1"/>
    <xf numFmtId="0" fontId="37" fillId="4" borderId="4" xfId="0" applyFont="1" applyFill="1" applyBorder="1"/>
    <xf numFmtId="0" fontId="37" fillId="4" borderId="4" xfId="0" applyFont="1" applyFill="1" applyBorder="1" applyAlignment="1">
      <alignment horizontal="center"/>
    </xf>
    <xf numFmtId="0" fontId="37" fillId="4" borderId="8" xfId="0" applyFont="1" applyFill="1" applyBorder="1"/>
    <xf numFmtId="0" fontId="3" fillId="4" borderId="2" xfId="0" applyFont="1" applyFill="1" applyBorder="1"/>
    <xf numFmtId="0" fontId="26" fillId="4" borderId="2" xfId="0" applyFont="1" applyFill="1" applyBorder="1"/>
    <xf numFmtId="0" fontId="26" fillId="4" borderId="3" xfId="0" applyFont="1" applyFill="1" applyBorder="1"/>
    <xf numFmtId="0" fontId="3" fillId="4" borderId="4" xfId="0" applyFont="1" applyFill="1" applyBorder="1"/>
    <xf numFmtId="0" fontId="3" fillId="4" borderId="8" xfId="0" applyFont="1" applyFill="1" applyBorder="1"/>
    <xf numFmtId="0" fontId="22" fillId="4" borderId="0" xfId="0" applyFont="1" applyFill="1"/>
    <xf numFmtId="0" fontId="30" fillId="4" borderId="0" xfId="0" applyFont="1" applyFill="1"/>
    <xf numFmtId="164" fontId="22" fillId="4" borderId="0" xfId="0" applyNumberFormat="1" applyFont="1" applyFill="1" applyAlignment="1">
      <alignment horizontal="center" vertical="center"/>
    </xf>
    <xf numFmtId="0" fontId="22" fillId="4" borderId="0" xfId="0" applyFont="1" applyFill="1" applyAlignment="1">
      <alignment horizontal="center" vertical="center"/>
    </xf>
    <xf numFmtId="2" fontId="22" fillId="4" borderId="0" xfId="0" applyNumberFormat="1" applyFont="1" applyFill="1" applyAlignment="1">
      <alignment horizontal="center" vertical="center"/>
    </xf>
    <xf numFmtId="0" fontId="30" fillId="4" borderId="0" xfId="0" applyFont="1" applyFill="1" applyAlignment="1">
      <alignment horizontal="center" vertical="center"/>
    </xf>
    <xf numFmtId="1" fontId="22" fillId="4" borderId="0" xfId="0" applyNumberFormat="1" applyFont="1" applyFill="1" applyAlignment="1">
      <alignment horizontal="center" vertical="center"/>
    </xf>
    <xf numFmtId="0" fontId="22" fillId="5" borderId="9" xfId="0" applyFont="1" applyFill="1" applyBorder="1" applyAlignment="1">
      <alignment horizontal="center" vertical="center"/>
    </xf>
    <xf numFmtId="0" fontId="39" fillId="4" borderId="0" xfId="0" applyFont="1" applyFill="1" applyAlignment="1">
      <alignment horizontal="center" vertical="center"/>
    </xf>
    <xf numFmtId="1" fontId="39" fillId="4" borderId="0" xfId="0" applyNumberFormat="1" applyFont="1" applyFill="1" applyAlignment="1">
      <alignment horizontal="center" vertical="center"/>
    </xf>
    <xf numFmtId="1" fontId="39" fillId="4" borderId="0" xfId="0" applyNumberFormat="1" applyFont="1" applyFill="1" applyAlignment="1" applyProtection="1">
      <alignment horizontal="center" vertical="center"/>
      <protection hidden="1"/>
    </xf>
    <xf numFmtId="0" fontId="39" fillId="4" borderId="0" xfId="0" applyFont="1" applyFill="1" applyAlignment="1">
      <alignment horizontal="right"/>
    </xf>
    <xf numFmtId="2" fontId="22" fillId="4" borderId="0" xfId="0" applyNumberFormat="1" applyFont="1" applyFill="1" applyAlignment="1" applyProtection="1">
      <alignment horizontal="center"/>
      <protection hidden="1"/>
    </xf>
    <xf numFmtId="0" fontId="39" fillId="4" borderId="0" xfId="0" applyFont="1" applyFill="1"/>
    <xf numFmtId="2" fontId="39" fillId="4" borderId="0" xfId="0" applyNumberFormat="1" applyFont="1" applyFill="1" applyAlignment="1">
      <alignment horizontal="center"/>
    </xf>
    <xf numFmtId="0" fontId="41" fillId="4" borderId="0" xfId="0" applyFont="1" applyFill="1"/>
    <xf numFmtId="0" fontId="25" fillId="3" borderId="0" xfId="0" applyFont="1" applyFill="1" applyAlignment="1">
      <alignment horizontal="center" vertical="center" wrapText="1"/>
    </xf>
    <xf numFmtId="0" fontId="10" fillId="6" borderId="6" xfId="0" applyFont="1" applyFill="1" applyBorder="1"/>
    <xf numFmtId="0" fontId="39" fillId="6" borderId="4" xfId="0" applyFont="1" applyFill="1" applyBorder="1" applyAlignment="1">
      <alignment horizontal="right" vertical="center"/>
    </xf>
    <xf numFmtId="0" fontId="39" fillId="6" borderId="4" xfId="0" applyFont="1" applyFill="1" applyBorder="1" applyAlignment="1" applyProtection="1">
      <alignment horizontal="left" vertical="center"/>
      <protection hidden="1"/>
    </xf>
    <xf numFmtId="0" fontId="42" fillId="6" borderId="4" xfId="0" applyFont="1" applyFill="1" applyBorder="1" applyAlignment="1">
      <alignment vertical="center"/>
    </xf>
    <xf numFmtId="0" fontId="8" fillId="6" borderId="4" xfId="0" applyFont="1" applyFill="1" applyBorder="1" applyAlignment="1">
      <alignment vertical="center"/>
    </xf>
    <xf numFmtId="0" fontId="10" fillId="6" borderId="4" xfId="0" applyFont="1" applyFill="1" applyBorder="1" applyAlignment="1">
      <alignment vertical="center"/>
    </xf>
    <xf numFmtId="0" fontId="0" fillId="6" borderId="4" xfId="0" applyFill="1" applyBorder="1" applyAlignment="1">
      <alignment vertical="center"/>
    </xf>
    <xf numFmtId="0" fontId="7" fillId="6" borderId="4" xfId="0" applyFont="1" applyFill="1" applyBorder="1" applyAlignment="1" applyProtection="1">
      <alignment horizontal="left" vertical="center"/>
      <protection hidden="1"/>
    </xf>
    <xf numFmtId="0" fontId="0" fillId="6" borderId="8" xfId="0" applyFill="1" applyBorder="1" applyAlignment="1">
      <alignment vertical="center"/>
    </xf>
    <xf numFmtId="0" fontId="0" fillId="0" borderId="18" xfId="0" applyBorder="1"/>
    <xf numFmtId="0" fontId="0" fillId="0" borderId="19" xfId="0" applyBorder="1"/>
    <xf numFmtId="0" fontId="1" fillId="0" borderId="17" xfId="0" applyFont="1" applyBorder="1"/>
    <xf numFmtId="0" fontId="47" fillId="7" borderId="1" xfId="0" applyFont="1" applyFill="1" applyBorder="1"/>
    <xf numFmtId="0" fontId="47" fillId="7" borderId="2" xfId="0" applyFont="1" applyFill="1" applyBorder="1"/>
    <xf numFmtId="0" fontId="47" fillId="7" borderId="3" xfId="0" applyFont="1" applyFill="1" applyBorder="1"/>
    <xf numFmtId="0" fontId="47" fillId="7" borderId="7" xfId="0" applyFont="1" applyFill="1" applyBorder="1"/>
    <xf numFmtId="0" fontId="47" fillId="7" borderId="4" xfId="0" applyFont="1" applyFill="1" applyBorder="1"/>
    <xf numFmtId="0" fontId="47" fillId="7" borderId="8" xfId="0" applyFont="1" applyFill="1" applyBorder="1"/>
    <xf numFmtId="0" fontId="1" fillId="0" borderId="1" xfId="0" applyFont="1" applyBorder="1"/>
    <xf numFmtId="0" fontId="50" fillId="0" borderId="0" xfId="0" applyFont="1" applyAlignment="1">
      <alignment vertical="center" wrapText="1"/>
    </xf>
    <xf numFmtId="0" fontId="17" fillId="0" borderId="0" xfId="0" applyFont="1" applyAlignment="1">
      <alignment vertical="center" wrapText="1"/>
    </xf>
    <xf numFmtId="0" fontId="49" fillId="0" borderId="0" xfId="0" applyFont="1" applyAlignment="1">
      <alignment vertical="center" wrapText="1"/>
    </xf>
    <xf numFmtId="0" fontId="1" fillId="0" borderId="7" xfId="0" applyFont="1" applyBorder="1"/>
    <xf numFmtId="0" fontId="17" fillId="0" borderId="0" xfId="0" applyFont="1" applyAlignment="1">
      <alignment wrapText="1"/>
    </xf>
    <xf numFmtId="0" fontId="1" fillId="0" borderId="0" xfId="0" applyFont="1"/>
    <xf numFmtId="0" fontId="47" fillId="0" borderId="0" xfId="0" applyFont="1"/>
    <xf numFmtId="0" fontId="46" fillId="0" borderId="0" xfId="0" applyFont="1"/>
    <xf numFmtId="0" fontId="1" fillId="5" borderId="0" xfId="0" applyFont="1" applyFill="1"/>
    <xf numFmtId="0" fontId="47" fillId="7" borderId="0" xfId="0" applyFont="1" applyFill="1"/>
    <xf numFmtId="0" fontId="52" fillId="8" borderId="20" xfId="0" applyFont="1" applyFill="1" applyBorder="1"/>
    <xf numFmtId="0" fontId="0" fillId="6" borderId="1" xfId="0" applyFill="1" applyBorder="1" applyAlignment="1">
      <alignment vertical="center"/>
    </xf>
    <xf numFmtId="0" fontId="39" fillId="6" borderId="2" xfId="0" applyFont="1" applyFill="1" applyBorder="1" applyAlignment="1">
      <alignment horizontal="right"/>
    </xf>
    <xf numFmtId="0" fontId="39" fillId="6" borderId="2" xfId="0" applyFont="1" applyFill="1" applyBorder="1" applyAlignment="1" applyProtection="1">
      <alignment horizontal="left"/>
      <protection hidden="1"/>
    </xf>
    <xf numFmtId="0" fontId="41" fillId="6" borderId="2" xfId="0" applyFont="1" applyFill="1" applyBorder="1"/>
    <xf numFmtId="0" fontId="8" fillId="6" borderId="2" xfId="0" applyFont="1" applyFill="1" applyBorder="1"/>
    <xf numFmtId="0" fontId="10" fillId="6" borderId="2" xfId="0" applyFont="1" applyFill="1" applyBorder="1"/>
    <xf numFmtId="0" fontId="10" fillId="6" borderId="3" xfId="0" applyFont="1" applyFill="1" applyBorder="1"/>
    <xf numFmtId="0" fontId="0" fillId="6" borderId="5" xfId="0" applyFill="1" applyBorder="1" applyAlignment="1">
      <alignment vertical="center"/>
    </xf>
    <xf numFmtId="0" fontId="39" fillId="6" borderId="0" xfId="0" applyFont="1" applyFill="1" applyAlignment="1">
      <alignment horizontal="right"/>
    </xf>
    <xf numFmtId="0" fontId="39" fillId="6" borderId="0" xfId="0" applyFont="1" applyFill="1" applyAlignment="1" applyProtection="1">
      <alignment horizontal="left"/>
      <protection hidden="1"/>
    </xf>
    <xf numFmtId="0" fontId="41" fillId="6" borderId="0" xfId="0" applyFont="1" applyFill="1"/>
    <xf numFmtId="0" fontId="8" fillId="6" borderId="0" xfId="0" applyFont="1" applyFill="1"/>
    <xf numFmtId="0" fontId="10" fillId="6" borderId="0" xfId="0" applyFont="1" applyFill="1"/>
    <xf numFmtId="0" fontId="0" fillId="6" borderId="7" xfId="0" applyFill="1" applyBorder="1" applyAlignment="1">
      <alignment vertical="center"/>
    </xf>
    <xf numFmtId="0" fontId="47" fillId="9" borderId="0" xfId="0" applyFont="1" applyFill="1"/>
    <xf numFmtId="0" fontId="16" fillId="0" borderId="0" xfId="0" applyFont="1" applyAlignment="1">
      <alignment vertical="center" wrapText="1"/>
    </xf>
    <xf numFmtId="0" fontId="53" fillId="0" borderId="0" xfId="0" applyFont="1" applyAlignment="1">
      <alignment vertical="center" wrapText="1"/>
    </xf>
    <xf numFmtId="0" fontId="54" fillId="0" borderId="0" xfId="0" applyFont="1"/>
    <xf numFmtId="0" fontId="32" fillId="4" borderId="0" xfId="0" applyFont="1" applyFill="1" applyAlignment="1" applyProtection="1">
      <alignment horizontal="center" vertical="center"/>
      <protection locked="0"/>
    </xf>
    <xf numFmtId="0" fontId="25" fillId="4" borderId="0" xfId="0" applyFont="1" applyFill="1" applyAlignment="1">
      <alignment horizontal="center"/>
    </xf>
    <xf numFmtId="0" fontId="43" fillId="4" borderId="1" xfId="0" applyFont="1" applyFill="1" applyBorder="1" applyAlignment="1">
      <alignment horizontal="center" vertical="center" wrapText="1"/>
    </xf>
    <xf numFmtId="0" fontId="43" fillId="4" borderId="2" xfId="0" applyFont="1" applyFill="1" applyBorder="1" applyAlignment="1">
      <alignment horizontal="center" vertical="center" wrapText="1"/>
    </xf>
    <xf numFmtId="0" fontId="43" fillId="4" borderId="3" xfId="0" applyFont="1" applyFill="1" applyBorder="1" applyAlignment="1">
      <alignment horizontal="center" vertical="center" wrapText="1"/>
    </xf>
    <xf numFmtId="0" fontId="43" fillId="4" borderId="5" xfId="0" applyFont="1" applyFill="1" applyBorder="1" applyAlignment="1">
      <alignment horizontal="center" vertical="center" wrapText="1"/>
    </xf>
    <xf numFmtId="0" fontId="43" fillId="4" borderId="0" xfId="0" applyFont="1" applyFill="1" applyAlignment="1">
      <alignment horizontal="center" vertical="center" wrapText="1"/>
    </xf>
    <xf numFmtId="0" fontId="43" fillId="4" borderId="6" xfId="0" applyFont="1" applyFill="1" applyBorder="1" applyAlignment="1">
      <alignment horizontal="center" vertical="center" wrapText="1"/>
    </xf>
    <xf numFmtId="0" fontId="8" fillId="4" borderId="0" xfId="0" applyFont="1" applyFill="1" applyAlignment="1">
      <alignment horizontal="left" vertical="center"/>
    </xf>
    <xf numFmtId="0" fontId="8" fillId="4" borderId="6" xfId="0" applyFont="1" applyFill="1" applyBorder="1" applyAlignment="1">
      <alignment horizontal="left" vertical="center"/>
    </xf>
    <xf numFmtId="0" fontId="25" fillId="3" borderId="0" xfId="0" applyFont="1" applyFill="1" applyAlignment="1">
      <alignment horizontal="center" vertical="center" wrapText="1"/>
    </xf>
    <xf numFmtId="0" fontId="26" fillId="4" borderId="5" xfId="0" applyFont="1" applyFill="1" applyBorder="1" applyAlignment="1">
      <alignment horizontal="center" vertical="center" wrapText="1"/>
    </xf>
    <xf numFmtId="0" fontId="26" fillId="4" borderId="0" xfId="0" applyFont="1" applyFill="1" applyAlignment="1">
      <alignment horizontal="center" vertical="center" wrapText="1"/>
    </xf>
    <xf numFmtId="0" fontId="27" fillId="9" borderId="11" xfId="0" applyFont="1" applyFill="1" applyBorder="1" applyAlignment="1">
      <alignment horizontal="center" vertical="center"/>
    </xf>
    <xf numFmtId="0" fontId="27" fillId="9" borderId="12" xfId="0" applyFont="1" applyFill="1" applyBorder="1" applyAlignment="1">
      <alignment horizontal="center" vertical="center"/>
    </xf>
    <xf numFmtId="0" fontId="8" fillId="4" borderId="0" xfId="0" applyFont="1" applyFill="1" applyAlignment="1">
      <alignment horizontal="left" vertical="center" wrapText="1"/>
    </xf>
    <xf numFmtId="0" fontId="8" fillId="4" borderId="6" xfId="0" applyFont="1" applyFill="1" applyBorder="1" applyAlignment="1">
      <alignment horizontal="left" vertical="center" wrapText="1"/>
    </xf>
    <xf numFmtId="0" fontId="38" fillId="4" borderId="5" xfId="0" applyFont="1" applyFill="1" applyBorder="1" applyAlignment="1">
      <alignment horizontal="center" vertical="center"/>
    </xf>
    <xf numFmtId="0" fontId="38" fillId="4" borderId="0" xfId="0" applyFont="1" applyFill="1" applyAlignment="1">
      <alignment horizontal="center" vertical="center"/>
    </xf>
    <xf numFmtId="0" fontId="38" fillId="4" borderId="6" xfId="0" applyFont="1" applyFill="1" applyBorder="1" applyAlignment="1">
      <alignment horizontal="center" vertical="center"/>
    </xf>
    <xf numFmtId="0" fontId="25" fillId="3" borderId="0" xfId="0" applyFont="1" applyFill="1" applyAlignment="1">
      <alignment horizontal="left" vertical="center" wrapText="1"/>
    </xf>
    <xf numFmtId="0" fontId="48" fillId="9" borderId="1" xfId="0" applyFont="1" applyFill="1" applyBorder="1" applyAlignment="1">
      <alignment horizontal="center" vertical="center" wrapText="1"/>
    </xf>
    <xf numFmtId="0" fontId="48" fillId="9" borderId="2" xfId="0" applyFont="1" applyFill="1" applyBorder="1" applyAlignment="1">
      <alignment horizontal="center" vertical="center" wrapText="1"/>
    </xf>
    <xf numFmtId="0" fontId="48" fillId="9" borderId="3" xfId="0" applyFont="1" applyFill="1" applyBorder="1" applyAlignment="1">
      <alignment horizontal="center" vertical="center" wrapText="1"/>
    </xf>
    <xf numFmtId="0" fontId="48" fillId="9" borderId="7" xfId="0" applyFont="1" applyFill="1" applyBorder="1" applyAlignment="1">
      <alignment horizontal="center" vertical="center" wrapText="1"/>
    </xf>
    <xf numFmtId="0" fontId="48" fillId="9" borderId="4" xfId="0" applyFont="1" applyFill="1" applyBorder="1" applyAlignment="1">
      <alignment horizontal="center" vertical="center" wrapText="1"/>
    </xf>
    <xf numFmtId="0" fontId="48" fillId="9" borderId="8" xfId="0" applyFont="1" applyFill="1" applyBorder="1" applyAlignment="1">
      <alignment horizontal="center" vertical="center" wrapText="1"/>
    </xf>
    <xf numFmtId="0" fontId="55" fillId="4" borderId="0" xfId="0" applyFont="1" applyFill="1" applyAlignment="1">
      <alignment horizontal="center" vertical="center" wrapText="1"/>
    </xf>
    <xf numFmtId="0" fontId="23" fillId="0" borderId="0" xfId="0" applyFont="1" applyAlignment="1">
      <alignment horizontal="center"/>
    </xf>
    <xf numFmtId="0" fontId="16" fillId="0" borderId="4" xfId="0" applyFont="1" applyBorder="1" applyAlignment="1">
      <alignment horizontal="center"/>
    </xf>
  </cellXfs>
  <cellStyles count="15">
    <cellStyle name="Followed Hyperlink" xfId="6" builtinId="9" hidden="1"/>
    <cellStyle name="Followed Hyperlink" xfId="12" builtinId="9" hidden="1"/>
    <cellStyle name="Followed Hyperlink" xfId="10" builtinId="9" hidden="1"/>
    <cellStyle name="Followed Hyperlink" xfId="2" builtinId="9" hidden="1"/>
    <cellStyle name="Followed Hyperlink" xfId="14" builtinId="9" hidden="1"/>
    <cellStyle name="Followed Hyperlink" xfId="4" builtinId="9" hidden="1"/>
    <cellStyle name="Followed Hyperlink" xfId="8" builtinId="9" hidden="1"/>
    <cellStyle name="Hyperlink" xfId="13" builtinId="8" hidden="1"/>
    <cellStyle name="Hyperlink" xfId="3" builtinId="8" hidden="1"/>
    <cellStyle name="Hyperlink" xfId="9" builtinId="8" hidden="1"/>
    <cellStyle name="Hyperlink" xfId="7" builtinId="8" hidden="1"/>
    <cellStyle name="Hyperlink" xfId="5" builtinId="8" hidden="1"/>
    <cellStyle name="Hyperlink" xfId="11" builtinId="8" hidden="1"/>
    <cellStyle name="Hyperlink" xfId="1" builtinId="8" hidden="1"/>
    <cellStyle name="Normal" xfId="0" builtinId="0"/>
  </cellStyles>
  <dxfs count="255">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2"/>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fill>
        <patternFill patternType="none">
          <fgColor indexed="64"/>
          <bgColor indexed="65"/>
        </patternFill>
      </fill>
    </dxf>
    <dxf>
      <font>
        <b val="0"/>
        <i val="0"/>
        <strike val="0"/>
        <condense val="0"/>
        <extend val="0"/>
        <outline val="0"/>
        <shadow val="0"/>
        <u val="none"/>
        <vertAlign val="baseline"/>
        <sz val="10"/>
        <color auto="1"/>
        <name val="Arial"/>
        <family val="2"/>
        <scheme val="none"/>
      </font>
      <fill>
        <patternFill patternType="none">
          <fgColor indexed="64"/>
          <bgColor indexed="65"/>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fill>
        <patternFill patternType="none">
          <fgColor indexed="64"/>
          <bgColor auto="1"/>
        </patternFill>
      </fill>
    </dxf>
    <dxf>
      <border outline="0">
        <left style="medium">
          <color auto="1"/>
        </left>
        <right style="medium">
          <color auto="1"/>
        </right>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dxf>
    <dxf>
      <border outline="0">
        <left style="medium">
          <color auto="1"/>
        </left>
        <right style="medium">
          <color auto="1"/>
        </right>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dxf>
    <dxf>
      <border outline="0">
        <left style="medium">
          <color auto="1"/>
        </left>
        <right style="medium">
          <color auto="1"/>
        </right>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dxf>
    <dxf>
      <border outline="0">
        <left style="medium">
          <color auto="1"/>
        </left>
        <right style="medium">
          <color auto="1"/>
        </right>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center" textRotation="0" wrapText="1" indent="0" justifyLastLine="0" shrinkToFit="0" readingOrder="0"/>
    </dxf>
    <dxf>
      <font>
        <b val="0"/>
        <i val="0"/>
        <strike val="0"/>
        <condense val="0"/>
        <extend val="0"/>
        <outline val="0"/>
        <shadow val="0"/>
        <u val="none"/>
        <vertAlign val="baseline"/>
        <sz val="10"/>
        <color auto="1"/>
        <name val="Arial"/>
        <family val="2"/>
        <scheme val="none"/>
      </font>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theme="1"/>
        <name val="Calibri"/>
        <family val="2"/>
        <scheme val="minor"/>
      </font>
      <alignment horizontal="general" vertical="center" textRotation="0" wrapText="1" indent="0" justifyLastLine="0" shrinkToFit="0" readingOrder="0"/>
      <border diagonalUp="0" diagonalDown="0">
        <left style="medium">
          <color auto="1"/>
        </left>
        <right/>
        <top/>
        <bottom/>
        <vertical/>
        <horizontal/>
      </border>
    </dxf>
    <dxf>
      <border outline="0">
        <right style="medium">
          <color auto="1"/>
        </right>
        <top style="medium">
          <color auto="1"/>
        </top>
      </border>
    </dxf>
    <dxf>
      <font>
        <b val="0"/>
        <i val="0"/>
        <strike val="0"/>
        <condense val="0"/>
        <extend val="0"/>
        <outline val="0"/>
        <shadow val="0"/>
        <u val="none"/>
        <vertAlign val="baseline"/>
        <sz val="10"/>
        <color auto="1"/>
        <name val="Arial"/>
        <family val="2"/>
        <scheme val="none"/>
      </font>
    </dxf>
    <dxf>
      <border outline="0">
        <bottom style="medium">
          <color auto="1"/>
        </bottom>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fill>
        <patternFill patternType="none">
          <fgColor indexed="64"/>
          <bgColor auto="1"/>
        </patternFill>
      </fill>
    </dxf>
    <dxf>
      <border outline="0">
        <right style="medium">
          <color auto="1"/>
        </right>
        <top style="medium">
          <color auto="1"/>
        </top>
      </border>
    </dxf>
    <dxf>
      <font>
        <b val="0"/>
        <i val="0"/>
        <strike val="0"/>
        <condense val="0"/>
        <extend val="0"/>
        <outline val="0"/>
        <shadow val="0"/>
        <u val="none"/>
        <vertAlign val="baseline"/>
        <sz val="10"/>
        <color auto="1"/>
        <name val="Arial"/>
        <family val="2"/>
        <scheme val="none"/>
      </font>
    </dxf>
    <dxf>
      <border outline="0">
        <bottom style="medium">
          <color auto="1"/>
        </bottom>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fill>
        <patternFill patternType="none">
          <fgColor indexed="64"/>
          <bgColor auto="1"/>
        </patternFill>
      </fill>
    </dxf>
    <dxf>
      <border outline="0">
        <left style="medium">
          <color auto="1"/>
        </left>
        <top style="medium">
          <color auto="1"/>
        </top>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dxf>
    <dxf>
      <border outline="0">
        <top style="medium">
          <color auto="1"/>
        </top>
      </border>
    </dxf>
    <dxf>
      <font>
        <b val="0"/>
        <i val="0"/>
        <strike val="0"/>
        <condense val="0"/>
        <extend val="0"/>
        <outline val="0"/>
        <shadow val="0"/>
        <u val="none"/>
        <vertAlign val="baseline"/>
        <sz val="10"/>
        <color auto="1"/>
        <name val="Arial"/>
        <family val="2"/>
        <scheme val="none"/>
      </font>
    </dxf>
    <dxf>
      <border outline="0">
        <bottom style="medium">
          <color auto="1"/>
        </bottom>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center" textRotation="0" wrapText="1" indent="0" justifyLastLine="0" shrinkToFit="0" readingOrder="0"/>
    </dxf>
    <dxf>
      <border outline="0">
        <top style="medium">
          <color auto="1"/>
        </top>
      </border>
    </dxf>
    <dxf>
      <font>
        <b val="0"/>
        <i val="0"/>
        <strike val="0"/>
        <condense val="0"/>
        <extend val="0"/>
        <outline val="0"/>
        <shadow val="0"/>
        <u val="none"/>
        <vertAlign val="baseline"/>
        <sz val="10"/>
        <color auto="1"/>
        <name val="Arial"/>
        <family val="2"/>
        <scheme val="none"/>
      </font>
    </dxf>
    <dxf>
      <border outline="0">
        <bottom style="medium">
          <color auto="1"/>
        </bottom>
      </border>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fill>
        <patternFill patternType="none">
          <fgColor indexed="64"/>
          <bgColor auto="1"/>
        </patternFill>
      </fill>
    </dxf>
    <dxf>
      <border outline="0">
        <top style="medium">
          <color auto="1"/>
        </top>
      </border>
    </dxf>
    <dxf>
      <border outline="0">
        <bottom style="medium">
          <color auto="1"/>
        </bottom>
      </border>
    </dxf>
    <dxf>
      <font>
        <b val="0"/>
        <i val="0"/>
        <strike val="0"/>
        <condense val="0"/>
        <extend val="0"/>
        <outline val="0"/>
        <shadow val="0"/>
        <u val="none"/>
        <vertAlign val="baseline"/>
        <sz val="10"/>
        <color auto="1"/>
        <name val="Arial"/>
        <family val="2"/>
        <scheme val="none"/>
      </font>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general" vertical="center" textRotation="0" wrapText="1" indent="0" justifyLastLine="0" shrinkToFit="0" readingOrder="0"/>
    </dxf>
    <dxf>
      <border outline="0">
        <top style="medium">
          <color auto="1"/>
        </top>
      </border>
    </dxf>
    <dxf>
      <border outline="0">
        <bottom style="medium">
          <color auto="1"/>
        </bottom>
      </border>
    </dxf>
    <dxf>
      <font>
        <b val="0"/>
        <i val="0"/>
        <strike val="0"/>
        <condense val="0"/>
        <extend val="0"/>
        <outline val="0"/>
        <shadow val="0"/>
        <u val="none"/>
        <vertAlign val="baseline"/>
        <sz val="10"/>
        <color auto="1"/>
        <name val="Arial"/>
        <family val="2"/>
        <scheme val="none"/>
      </font>
    </dxf>
    <dxf>
      <numFmt numFmtId="0" formatCode="General"/>
      <fill>
        <patternFill patternType="none">
          <fgColor indexed="64"/>
          <bgColor auto="1"/>
        </patternFill>
      </fill>
    </dxf>
    <dxf>
      <font>
        <b val="0"/>
        <i val="0"/>
        <strike val="0"/>
        <condense val="0"/>
        <extend val="0"/>
        <outline val="0"/>
        <shadow val="0"/>
        <u val="none"/>
        <vertAlign val="baseline"/>
        <sz val="10"/>
        <color auto="1"/>
        <name val="Arial"/>
        <family val="2"/>
        <scheme val="none"/>
      </font>
    </dxf>
  </dxfs>
  <tableStyles count="0" defaultTableStyle="TableStyleMedium2" defaultPivotStyle="PivotStyleLight16"/>
  <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14</xdr:col>
      <xdr:colOff>33618</xdr:colOff>
      <xdr:row>1</xdr:row>
      <xdr:rowOff>44823</xdr:rowOff>
    </xdr:from>
    <xdr:to>
      <xdr:col>19</xdr:col>
      <xdr:colOff>82477</xdr:colOff>
      <xdr:row>3</xdr:row>
      <xdr:rowOff>471621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860677" y="201705"/>
          <a:ext cx="2357270" cy="83021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67EE3CDD-324B-9343-9B60-B29A4639F703}" name="CCDFactorTable_high" displayName="CCDFactorTable_high" ref="A66:I91" totalsRowShown="0" headerRowDxfId="254">
  <autoFilter ref="A66:I91" xr:uid="{67EE3CDD-324B-9343-9B60-B29A4639F703}"/>
  <tableColumns count="9">
    <tableColumn id="1" xr3:uid="{9365367E-3E6B-884D-8168-B779FF913578}" name="Nozzle" dataDxfId="253">
      <calculatedColumnFormula>A28</calculatedColumnFormula>
    </tableColumn>
    <tableColumn id="2" xr3:uid="{8E14965F-7085-4D43-AEBF-1000CF086E5E}" name="Orf Sub"/>
    <tableColumn id="3" xr3:uid="{38DA7C08-E1CF-5846-864B-BCC3B492C505}" name="Orf Div"/>
    <tableColumn id="4" xr3:uid="{E2FE2488-E40C-434C-B244-FE83632A083C}" name="AS Sub"/>
    <tableColumn id="5" xr3:uid="{201C1DC0-11D7-9F45-90E0-BCBEA5133FC2}" name="AS Div"/>
    <tableColumn id="6" xr3:uid="{ACE488A2-4B18-AD46-8371-9C32FBABA8FA}" name="Press Sub"/>
    <tableColumn id="7" xr3:uid="{932618CC-BA2D-BD40-AB12-F5CE59ECFC1B}" name="Press Div"/>
    <tableColumn id="8" xr3:uid="{796D6138-0D51-F944-8E70-2B91F0FDAEDB}" name="Ang Sub"/>
    <tableColumn id="9" xr3:uid="{6FE57AD0-C4DE-AF44-B168-B18199666856}" name="Ang Div"/>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63653E8-863E-EC4B-AFFE-9456363C7A01}" name="CCDFactorTable_low" displayName="CCDFactorTable_low" ref="L66:T91" totalsRowShown="0">
  <autoFilter ref="L66:T91" xr:uid="{C63653E8-863E-EC4B-AFFE-9456363C7A01}"/>
  <tableColumns count="9">
    <tableColumn id="1" xr3:uid="{F8C4FFCC-750A-A247-9561-8C570F63628C}" name="Nozzle"/>
    <tableColumn id="2" xr3:uid="{07EBBCCF-AF5F-224E-B709-98FCD9E11753}" name="Orf Sub"/>
    <tableColumn id="3" xr3:uid="{72341CBE-5AA0-B846-9248-A0F6AF79E9A6}" name="Orf Div"/>
    <tableColumn id="4" xr3:uid="{90125C54-1C08-F54B-88A3-6FFFD2F70435}" name="AS Sub"/>
    <tableColumn id="5" xr3:uid="{ED18A488-117B-AF42-99B6-B8CCE577D32B}" name="AS Div"/>
    <tableColumn id="6" xr3:uid="{523F3DEE-67A8-1740-8B9E-A5359A58CF70}" name="Press Sub"/>
    <tableColumn id="7" xr3:uid="{42EE3FCF-722C-0E49-A36F-EC30AA31C14B}" name="Press Div"/>
    <tableColumn id="8" xr3:uid="{AD9440C4-D69B-9B41-958C-E4743B2E058D}" name="Ang Sub"/>
    <tableColumn id="9" xr3:uid="{6A260A61-8B17-854E-B7BB-E268FA6780B0}" name="Ang Div"/>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8EF6DDEC-32DC-F249-9B97-909113E50B4B}" name="DV01Table_low" displayName="DV01Table_low" ref="A122:P147" totalsRowShown="0" headerRowDxfId="143">
  <autoFilter ref="A122:P147" xr:uid="{8EF6DDEC-32DC-F249-9B97-909113E50B4B}"/>
  <tableColumns count="16">
    <tableColumn id="1" xr3:uid="{483B6D23-3C25-AE44-B42F-82BB0A58CCA3}" name="Nozzle" dataDxfId="142"/>
    <tableColumn id="2" xr3:uid="{9817B3AF-1A60-AE47-B547-F2DADA5BF536}" name="Intercept"/>
    <tableColumn id="3" xr3:uid="{A74271AD-C0A1-D34A-9266-7D06AE56FFF6}" name="Orifice"/>
    <tableColumn id="4" xr3:uid="{A07B381C-DC02-6542-8316-F08ACAFD32E0}" name="Airspeed"/>
    <tableColumn id="5" xr3:uid="{4BE7EEB2-CC76-C64F-A639-6085760D91C2}" name="Pressure"/>
    <tableColumn id="6" xr3:uid="{CD0DF991-6673-DC44-A0AA-33A3D82238A2}" name="Angle"/>
    <tableColumn id="7" xr3:uid="{3F83AADF-578B-7044-B5A4-D5FFC179A51F}" name="Orf*AS"/>
    <tableColumn id="8" xr3:uid="{3B172F35-4B2F-B441-9C14-8E7B118BC04A}" name="Orf*Press"/>
    <tableColumn id="9" xr3:uid="{F9CF5AE6-5C56-0044-AAFD-867D6F478330}" name="AS*Press"/>
    <tableColumn id="10" xr3:uid="{430346D6-98EA-174B-B822-590E1BC3C08C}" name="Orf*Ang"/>
    <tableColumn id="11" xr3:uid="{A17E608D-F8B0-3B41-AFB2-5DE2BD2E67D7}" name="AS*Ang"/>
    <tableColumn id="12" xr3:uid="{AEF00A41-ECD4-4447-9C88-25638249419F}" name="Press*Ang"/>
    <tableColumn id="13" xr3:uid="{D8C0514E-D28F-8544-9D67-166E620AB675}" name="Orf^2"/>
    <tableColumn id="14" xr3:uid="{8966B25F-7343-0F46-83A7-0FEAA41031F0}" name="AS^2"/>
    <tableColumn id="15" xr3:uid="{ED74FE76-E931-4242-AFBE-8C5DBAECDE09}" name="Press^"/>
    <tableColumn id="16" xr3:uid="{960C5A98-1670-E646-AB33-85088C9E0096}" name="Ang^2"/>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10B36B2F-7D13-784D-AB2B-D7A020F1A501}" name="DV05Table_low" displayName="DV05Table_low" ref="A178:P203" totalsRowShown="0" headerRowDxfId="141" dataDxfId="140" tableBorderDxfId="139">
  <autoFilter ref="A178:P203" xr:uid="{10B36B2F-7D13-784D-AB2B-D7A020F1A501}"/>
  <tableColumns count="16">
    <tableColumn id="1" xr3:uid="{EA799F12-19CA-1A4D-AAEA-1086DF114368}" name="Nozzle" dataDxfId="138"/>
    <tableColumn id="2" xr3:uid="{008B678C-F5C2-D545-9E6B-1731FB79781F}" name="Intercept" dataDxfId="137"/>
    <tableColumn id="3" xr3:uid="{4AE129BA-DB24-2A4B-9855-91E0C9E05F5A}" name="Orifice" dataDxfId="136"/>
    <tableColumn id="4" xr3:uid="{22C50D1F-A88E-3D47-8F8C-5E69268532AC}" name="Airspeed" dataDxfId="135"/>
    <tableColumn id="5" xr3:uid="{873BC235-A5A6-914D-BCE4-D53EFF298CC3}" name="Pressure" dataDxfId="134"/>
    <tableColumn id="6" xr3:uid="{6F3AF358-0CD0-0343-AB8F-8669F274848A}" name="Angle" dataDxfId="133"/>
    <tableColumn id="7" xr3:uid="{9C311650-684F-CD49-ABF1-664CF5940610}" name="Orf*AS" dataDxfId="132"/>
    <tableColumn id="8" xr3:uid="{7F75193A-67A4-0E4A-893A-411853E7D630}" name="Orf*Press" dataDxfId="131"/>
    <tableColumn id="9" xr3:uid="{9B4B3D86-E48A-0B4E-8F41-51615EB6F1BB}" name="AS*Press" dataDxfId="130"/>
    <tableColumn id="10" xr3:uid="{64C1F120-A496-2246-83E8-A85E9231D221}" name="Orf*Ang" dataDxfId="129"/>
    <tableColumn id="11" xr3:uid="{01B688A9-F05E-4148-817F-3E95CED452F4}" name="AS*Ang" dataDxfId="128"/>
    <tableColumn id="12" xr3:uid="{5240CF98-4201-994D-998F-E95700A6B5EE}" name="Press*Ang" dataDxfId="127"/>
    <tableColumn id="13" xr3:uid="{6733807A-F3C6-6F48-837B-1339FC5E634E}" name="Orf^2" dataDxfId="126"/>
    <tableColumn id="14" xr3:uid="{CBA1CFF5-6039-6D42-8CB5-31D71F46B556}" name="AS^2" dataDxfId="125"/>
    <tableColumn id="15" xr3:uid="{FA2D3AB2-433A-5E4E-AA70-7E7E21F5C269}" name="Press^" dataDxfId="124"/>
    <tableColumn id="16" xr3:uid="{B8297DEB-6002-D24A-B266-EDB3B13B260F}" name="Ang^2" dataDxfId="123"/>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28719CC-F2BE-2548-AC6C-DBCFE21B366D}" name="DV09Table_low" displayName="DV09Table_low" ref="A235:P261" totalsRowShown="0" headerRowDxfId="122" dataDxfId="121" tableBorderDxfId="120">
  <autoFilter ref="A235:P261" xr:uid="{728719CC-F2BE-2548-AC6C-DBCFE21B366D}"/>
  <tableColumns count="16">
    <tableColumn id="1" xr3:uid="{B417D56A-4EF6-5B47-8B93-61DC8C2EDF8C}" name="Nozzle" dataDxfId="119"/>
    <tableColumn id="2" xr3:uid="{39E97C73-F98D-BE48-8A84-27B210403B7B}" name="Intercept" dataDxfId="118"/>
    <tableColumn id="3" xr3:uid="{82627817-1080-A94D-84AD-FF334A24F223}" name="Orifice" dataDxfId="117"/>
    <tableColumn id="4" xr3:uid="{0927A152-9E58-4D4B-9ADF-C5F2020FD7B0}" name="Airspeed" dataDxfId="116"/>
    <tableColumn id="5" xr3:uid="{2E3BFA31-4AF3-E946-82B1-11CACCEAB9E4}" name="Pressure" dataDxfId="115"/>
    <tableColumn id="6" xr3:uid="{3D917C50-66A1-4641-81C6-781A6159FDCB}" name="Angle" dataDxfId="114"/>
    <tableColumn id="7" xr3:uid="{6A099313-B0A5-6D46-8B61-1FC86D9D1380}" name="Orf*AS" dataDxfId="113"/>
    <tableColumn id="8" xr3:uid="{87957F1C-AF1F-6D4C-BBEC-23417FEF28C2}" name="Orf*Press" dataDxfId="112"/>
    <tableColumn id="9" xr3:uid="{60A9BE2F-5376-4044-BD19-EBBF7205F31D}" name="AS*Press" dataDxfId="111"/>
    <tableColumn id="10" xr3:uid="{2FCCCFD5-A5BE-BD4D-8C7F-5FB81C35527A}" name="Orf*Ang" dataDxfId="110"/>
    <tableColumn id="11" xr3:uid="{10B9A72D-3A28-C34C-BDD0-E92AC2C4A262}" name="AS*Ang" dataDxfId="109"/>
    <tableColumn id="12" xr3:uid="{EB76C05D-2852-4A48-9220-0DD0869DEDB2}" name="Press*Ang" dataDxfId="108"/>
    <tableColumn id="13" xr3:uid="{251B0B10-AE97-8F44-AE68-C97EA7730CC7}" name="Orf^2" dataDxfId="107"/>
    <tableColumn id="14" xr3:uid="{E8FDF85C-262D-B943-8B22-68B89F4D9AC4}" name="AS^2" dataDxfId="106"/>
    <tableColumn id="15" xr3:uid="{DB813552-2593-114E-AC20-56756358BD65}" name="Press^" dataDxfId="105"/>
    <tableColumn id="16" xr3:uid="{4B0FBD3E-BE0D-394E-8B71-45E0681F4C15}" name="Ang^2" dataDxfId="104"/>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5AB5813-E2BB-3E4B-981C-B2B59D9A8601}" name="Less100Table_low" displayName="Less100Table_low" ref="A292:P318" totalsRowShown="0" headerRowDxfId="103" dataDxfId="102" tableBorderDxfId="101">
  <autoFilter ref="A292:P318" xr:uid="{C5AB5813-E2BB-3E4B-981C-B2B59D9A8601}"/>
  <tableColumns count="16">
    <tableColumn id="1" xr3:uid="{1384ADD4-389E-A645-91D5-D78620348259}" name="Nozzle" dataDxfId="100"/>
    <tableColumn id="2" xr3:uid="{F7332A4F-E253-2B40-B81F-4470680597B8}" name="Intercept" dataDxfId="99"/>
    <tableColumn id="3" xr3:uid="{D614CACB-F2DD-BB41-9D99-6BCB9CAA6598}" name="Orifice" dataDxfId="98"/>
    <tableColumn id="4" xr3:uid="{B59C6398-96D4-A543-AE6D-08CE16A0E658}" name="Airspeed" dataDxfId="97"/>
    <tableColumn id="5" xr3:uid="{F70E3C1A-AE8F-E640-B585-F7558583FDD3}" name="Pressure" dataDxfId="96"/>
    <tableColumn id="6" xr3:uid="{56F3A140-08C6-694B-969E-7BACEBA3F695}" name="Angle" dataDxfId="95"/>
    <tableColumn id="7" xr3:uid="{C9872D9D-484E-2E49-A90D-C275FCC3E385}" name="Orf*AS" dataDxfId="94"/>
    <tableColumn id="8" xr3:uid="{D9BDAB6E-74D9-5645-BFFB-848A33533516}" name="Orf*Press" dataDxfId="93"/>
    <tableColumn id="9" xr3:uid="{F91B5D00-756D-1D43-8264-B11A235E052D}" name="AS*Press" dataDxfId="92"/>
    <tableColumn id="10" xr3:uid="{E04DBEE9-85CE-494E-BAA6-0537B76EB46E}" name="Orf*Ang" dataDxfId="91"/>
    <tableColumn id="11" xr3:uid="{199A7879-6107-C54E-9E54-D76238E4755D}" name="AS*Ang" dataDxfId="90"/>
    <tableColumn id="12" xr3:uid="{CD30470B-2F1B-5949-9CAD-BBC9DF43B4E3}" name="Press*Ang" dataDxfId="89"/>
    <tableColumn id="13" xr3:uid="{1B6A7057-6059-1C4F-ACDA-EE60B04224DF}" name="Orf^2" dataDxfId="88"/>
    <tableColumn id="14" xr3:uid="{A05519E1-4063-5B42-88AB-4AC476432531}" name="AS^2" dataDxfId="87"/>
    <tableColumn id="15" xr3:uid="{0EE961FF-5018-AE40-B51F-B1DB756D4A69}" name="Press^" dataDxfId="86"/>
    <tableColumn id="16" xr3:uid="{DC875FEA-8787-0947-80C8-27C88C81A725}" name="Ang^2" dataDxfId="85"/>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CBBC95F1-6FDB-E84E-8A6E-E75B1BBAC3DD}" name="Less200Table_low" displayName="Less200Table_low" ref="A350:P376" totalsRowShown="0" headerRowDxfId="84" dataDxfId="83" tableBorderDxfId="82">
  <autoFilter ref="A350:P376" xr:uid="{CBBC95F1-6FDB-E84E-8A6E-E75B1BBAC3DD}"/>
  <tableColumns count="16">
    <tableColumn id="1" xr3:uid="{C4FAB880-3CCA-4342-945B-B40F0FFD0101}" name="Nozzle" dataDxfId="81"/>
    <tableColumn id="2" xr3:uid="{A3130981-F0DF-7944-93DD-9EEE176D6235}" name="Intercept" dataDxfId="80"/>
    <tableColumn id="3" xr3:uid="{B3159BC9-33F5-2D4C-B543-96D322B3F563}" name="Orifice" dataDxfId="79"/>
    <tableColumn id="4" xr3:uid="{38A0D1FC-1429-8643-B696-948BA295A12C}" name="Airspeed" dataDxfId="78"/>
    <tableColumn id="5" xr3:uid="{FCDA6B9B-7CAD-AB40-B3EC-31B0AFA20209}" name="Pressure" dataDxfId="77"/>
    <tableColumn id="6" xr3:uid="{C8FE5272-FD4C-EE45-85C0-CF726ED111F5}" name="Angle" dataDxfId="76"/>
    <tableColumn id="7" xr3:uid="{F1248426-0FB9-5A47-A6E7-130528968D5C}" name="Orf*AS" dataDxfId="75"/>
    <tableColumn id="8" xr3:uid="{0169F9F0-C358-DB44-890A-2782026EB24F}" name="Orf*Press" dataDxfId="74"/>
    <tableColumn id="9" xr3:uid="{48DA994C-A33E-D240-A359-00DA335947E3}" name="AS*Press" dataDxfId="73"/>
    <tableColumn id="10" xr3:uid="{98963FD7-0EB4-8B42-9FFA-33AFBA8DBA55}" name="Orf*Ang" dataDxfId="72"/>
    <tableColumn id="11" xr3:uid="{980C8CAD-636C-E34A-9E46-8150309E128F}" name="AS*Ang" dataDxfId="71"/>
    <tableColumn id="12" xr3:uid="{6E67D925-1BEF-4349-AB90-03B6E30D6470}" name="Press*Ang" dataDxfId="70"/>
    <tableColumn id="13" xr3:uid="{777C46A1-E253-434A-8453-6C2C1E37E2D7}" name="Orf^2" dataDxfId="69"/>
    <tableColumn id="14" xr3:uid="{FF90F280-6D1E-BE4C-8FA4-04A7B3CBBA54}" name="AS^2" dataDxfId="68"/>
    <tableColumn id="15" xr3:uid="{4ADD1E82-D691-634E-A150-51B549D69E73}" name="Press^" dataDxfId="67"/>
    <tableColumn id="16" xr3:uid="{A81B4A5D-82D9-0C43-BC63-888543DD67FF}" name="Ang^2" dataDxfId="66"/>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7CBDDF58-DE1B-834E-8C81-1C09CEB93A78}" name="ASTable_low" displayName="ASTable_low" ref="A506:Q532" totalsRowShown="0">
  <autoFilter ref="A506:Q532" xr:uid="{7CBDDF58-DE1B-834E-8C81-1C09CEB93A78}"/>
  <tableColumns count="17">
    <tableColumn id="1" xr3:uid="{69CA274E-3378-6143-A05E-31E87725FFAC}" name="Nozzle" dataDxfId="65"/>
    <tableColumn id="2" xr3:uid="{A40AA5DF-3669-0347-9F65-E90958BAB182}" name="v1" dataDxfId="64"/>
    <tableColumn id="3" xr3:uid="{ACA89244-55A6-7842-B335-BF053D1ED04B}" name="v2" dataDxfId="63"/>
    <tableColumn id="4" xr3:uid="{A26F472E-C80F-F640-94A2-DAFE128916C9}" name="v3" dataDxfId="62"/>
    <tableColumn id="5" xr3:uid="{FEAC5BF4-488A-A747-96D4-DDC3F513610F}" name="v4" dataDxfId="61"/>
    <tableColumn id="6" xr3:uid="{839F07FB-47F2-5242-8EB6-23A9EFCD782C}" name="v5" dataDxfId="60"/>
    <tableColumn id="7" xr3:uid="{5DD06467-13E6-7745-88D3-05E6BCBFD851}" name="v6" dataDxfId="59"/>
    <tableColumn id="8" xr3:uid="{1D781004-1279-3444-BD6E-4DF140016C24}" name="v7" dataDxfId="58"/>
    <tableColumn id="9" xr3:uid="{6959AA25-51B3-F34F-ACAA-39ECCD3752B9}" name="v8" dataDxfId="57"/>
    <tableColumn id="10" xr3:uid="{6683CE2B-F22F-F240-A8C8-34E5D32000D8}" name="v9" dataDxfId="56"/>
    <tableColumn id="11" xr3:uid="{C9EF7FA1-6622-D849-9DE1-1A3FD0227D83}" name="v10" dataDxfId="55"/>
    <tableColumn id="12" xr3:uid="{C2F53DDD-ACB4-9840-994F-781E3CED0E2B}" name="v11" dataDxfId="54"/>
    <tableColumn id="13" xr3:uid="{E4B661B1-2907-5F49-8185-C4B9D0E92AD6}" name="v12" dataDxfId="53"/>
    <tableColumn id="14" xr3:uid="{B706D338-6B7E-DF45-A775-21A5F4025ABD}" name="v13" dataDxfId="52"/>
    <tableColumn id="15" xr3:uid="{0AE890B9-3DBC-A046-9ED4-66050D54AC50}" name="v14" dataDxfId="51"/>
    <tableColumn id="16" xr3:uid="{AB984B48-74DF-9241-A054-A4C41C0E1BDE}" name="v15" dataDxfId="50"/>
    <tableColumn id="17" xr3:uid="{F52C83D0-C310-8045-8DEC-8A62CADEF6ED}" name="Range" dataDxfId="49"/>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32DCA7EB-124F-3A4D-9C50-62BF21BDCB24}" name="ASTable_high" displayName="ASTable_high" ref="A477:Q502" totalsRowShown="0">
  <autoFilter ref="A477:Q502" xr:uid="{32DCA7EB-124F-3A4D-9C50-62BF21BDCB24}"/>
  <tableColumns count="17">
    <tableColumn id="1" xr3:uid="{234A58D2-FD7B-3E4D-89C2-4B622A53516C}" name="Nozzle" dataDxfId="48"/>
    <tableColumn id="2" xr3:uid="{EB509330-9406-EB43-B913-E91782C1BEA0}" name="v1" dataDxfId="47"/>
    <tableColumn id="3" xr3:uid="{6AA35F60-D4A5-D64B-85A1-150FE79C568B}" name="v2" dataDxfId="46"/>
    <tableColumn id="4" xr3:uid="{525CFA02-8D5F-E245-BBD8-F7BCFDEC693D}" name="v3" dataDxfId="45"/>
    <tableColumn id="5" xr3:uid="{1E74B201-F35C-DB4F-8A87-F5125C784D14}" name="v4" dataDxfId="44"/>
    <tableColumn id="6" xr3:uid="{D39345C7-D230-9047-97DD-D410C17BD043}" name="v5" dataDxfId="43"/>
    <tableColumn id="7" xr3:uid="{A30969B2-3687-E145-A014-7C593543DE37}" name="v6" dataDxfId="42"/>
    <tableColumn id="8" xr3:uid="{E42EA602-8E9A-D647-87A8-33687FF64F14}" name="v7" dataDxfId="41"/>
    <tableColumn id="9" xr3:uid="{659832A3-F991-1245-893D-333150A176A5}" name="v8" dataDxfId="40"/>
    <tableColumn id="10" xr3:uid="{51F5F27E-1B02-8A45-8BA1-CD3BCBBDC678}" name="v9" dataDxfId="39"/>
    <tableColumn id="11" xr3:uid="{6CA9E27A-B773-0F43-9C6D-170E96E929AD}" name="v10" dataDxfId="38"/>
    <tableColumn id="12" xr3:uid="{7753208F-C5DA-0641-86CF-AD9A2EC7F453}" name="v11" dataDxfId="37"/>
    <tableColumn id="13" xr3:uid="{4E950E68-6A6C-2947-B4FF-6057BD2F7197}" name="v12" dataDxfId="36"/>
    <tableColumn id="14" xr3:uid="{8AF40782-2460-0D49-A9DC-7B61C6114374}" name="v13" dataDxfId="35"/>
    <tableColumn id="15" xr3:uid="{9BF45482-B85B-E943-83BC-9756F016B34B}" name="v14" dataDxfId="34"/>
    <tableColumn id="16" xr3:uid="{A53E51C0-7718-8846-B021-427C2B1FDE24}" name="v15" dataDxfId="33"/>
    <tableColumn id="17" xr3:uid="{38A63CFB-2FC9-1A46-B75A-6B6CA1F0FC3D}" name="Range" dataDxfId="32"/>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72CBB576-6733-F442-954A-10E771FD705A}" name="PressTable_low" displayName="PressTable_low" ref="A566:O592" totalsRowShown="0" headerRowDxfId="31">
  <autoFilter ref="A566:O592" xr:uid="{72CBB576-6733-F442-954A-10E771FD705A}"/>
  <tableColumns count="15">
    <tableColumn id="1" xr3:uid="{7A7DBF01-2B28-004F-A512-BD6EDB113D0E}" name="Nozzle"/>
    <tableColumn id="2" xr3:uid="{D0FDE6FB-0878-8840-9554-B6C423EC9B9A}" name="v1"/>
    <tableColumn id="3" xr3:uid="{B9347D7F-D12A-4148-8D95-14D3C7D8FC6A}" name="v2"/>
    <tableColumn id="4" xr3:uid="{354CAE41-B744-7D41-A7FC-9E5B3EA85C8A}" name="v3"/>
    <tableColumn id="5" xr3:uid="{73BBA9E8-FB89-D245-BCE9-E90437B532CE}" name="v4"/>
    <tableColumn id="6" xr3:uid="{82861697-B245-FB4D-927E-E0C08CBCE59E}" name="v5"/>
    <tableColumn id="7" xr3:uid="{876793A2-6C19-024E-B967-6BC1CF92E4F8}" name="v6"/>
    <tableColumn id="8" xr3:uid="{A6A877CE-6EE3-3E4D-81AF-AF9A5F4B1482}" name="v7"/>
    <tableColumn id="9" xr3:uid="{44B876AA-359B-3848-9C89-6120DC3A9F9D}" name="v8"/>
    <tableColumn id="10" xr3:uid="{0BA19066-D3AC-E34F-BFC9-C09F03CC0FF6}" name="v9"/>
    <tableColumn id="11" xr3:uid="{BF3AA079-8125-B149-A74A-18ABD7AD9673}" name="v10"/>
    <tableColumn id="12" xr3:uid="{27A7F1A4-241E-364D-91E9-F1C7423F2793}" name="v11"/>
    <tableColumn id="13" xr3:uid="{788E0A51-AB6C-6146-803B-4CDCD9CBB0A0}" name="v12"/>
    <tableColumn id="14" xr3:uid="{0B02A9FB-04E2-D744-B59B-77812684E432}" name="v13"/>
    <tableColumn id="15" xr3:uid="{A62DF8FD-F9DC-FF4E-813C-B457947F526A}" name="Range"/>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D40FE86-81F1-724B-B30C-CDA03802D9A6}" name="AngTable_low" displayName="AngTable_low" ref="A447:P474" totalsRowShown="0" headerRowDxfId="30" dataDxfId="29">
  <autoFilter ref="A447:P474" xr:uid="{6D40FE86-81F1-724B-B30C-CDA03802D9A6}"/>
  <tableColumns count="16">
    <tableColumn id="1" xr3:uid="{340EC8CD-04E1-9249-BF59-386B54E7C626}" name="Nozzle" dataDxfId="28"/>
    <tableColumn id="2" xr3:uid="{7681E3AF-D08F-A748-8EDB-A56CFBE43C5D}" name="Text" dataDxfId="27"/>
    <tableColumn id="3" xr3:uid="{5A5E73F2-5828-7A42-BF48-74D34B77118A}" name="v1" dataDxfId="26"/>
    <tableColumn id="4" xr3:uid="{C533E84D-E9CB-E04D-8A35-2ECC990B4005}" name="v2" dataDxfId="25"/>
    <tableColumn id="5" xr3:uid="{99BF38A2-CA4E-144E-A688-F327D71987F1}" name="v3" dataDxfId="24"/>
    <tableColumn id="6" xr3:uid="{D6F9575A-9838-E94D-8EE5-3E2A3A9FD66A}" name="v4" dataDxfId="23"/>
    <tableColumn id="7" xr3:uid="{D3B93C76-7FE1-674D-A709-50D31278EC34}" name="v5" dataDxfId="22"/>
    <tableColumn id="8" xr3:uid="{3464FD4F-38A4-D241-9682-7306290C0957}" name="v6" dataDxfId="21"/>
    <tableColumn id="9" xr3:uid="{967303ED-DB53-C54D-B6FF-6EF164C9D852}" name="v7" dataDxfId="20"/>
    <tableColumn id="10" xr3:uid="{A081294E-C981-7245-846F-6401943C44B9}" name="v8" dataDxfId="19"/>
    <tableColumn id="11" xr3:uid="{DD710EEA-71E6-BF4E-B69E-EA96106213BA}" name="v9" dataDxfId="18"/>
    <tableColumn id="12" xr3:uid="{B6D92607-5D83-CB4B-B212-69091F79217C}" name="v10" dataDxfId="17"/>
    <tableColumn id="13" xr3:uid="{1EFC3713-E414-5E49-8862-7E55A687432F}" name="v11" dataDxfId="16"/>
    <tableColumn id="14" xr3:uid="{8DE46E47-6570-C644-AB99-A6EAA9D0F00C}" name="v12" dataDxfId="15"/>
    <tableColumn id="15" xr3:uid="{53F13FA3-A4FD-6E45-AB3E-CC65DC17D883}" name="v13" dataDxfId="14"/>
    <tableColumn id="16" xr3:uid="{9C50767A-0F3F-CC4D-8C5B-121BBFF8E396}" name="Range"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70B9FD0-4976-7A47-9938-8D04D97E988C}" name="DV01Table_high" displayName="DV01Table_high" ref="A94:P119" totalsRowShown="0" headerRowDxfId="252" headerRowBorderDxfId="251" tableBorderDxfId="250">
  <autoFilter ref="A94:P119" xr:uid="{D70B9FD0-4976-7A47-9938-8D04D97E988C}"/>
  <tableColumns count="16">
    <tableColumn id="1" xr3:uid="{CE57373E-7428-F745-A393-1FE5B20570E1}" name="Nozzle" dataDxfId="249"/>
    <tableColumn id="2" xr3:uid="{FD523443-73E3-8647-9F1A-EC512247BE62}" name="Intercept"/>
    <tableColumn id="3" xr3:uid="{826F069B-CC14-A94D-BC58-9B5B490E5C2D}" name="Orifice"/>
    <tableColumn id="4" xr3:uid="{D5BFC006-E865-8C40-9CB6-1628F1207A6C}" name="Airspeed"/>
    <tableColumn id="5" xr3:uid="{709E7D48-A9E6-824E-9F41-967B7D6FF9AD}" name="Pressure"/>
    <tableColumn id="6" xr3:uid="{1871E7F5-F75D-F944-B37E-ED608DA717B3}" name="Angle"/>
    <tableColumn id="7" xr3:uid="{604C64FC-8FE8-3F41-9ECA-EC9025B81874}" name="Orf*AS"/>
    <tableColumn id="8" xr3:uid="{9CF6EEF7-1B79-1241-B71A-05D8828BCDE3}" name="Orf*Press"/>
    <tableColumn id="9" xr3:uid="{6162223A-3E41-8546-A408-3886663A7CA8}" name="AS*Press"/>
    <tableColumn id="10" xr3:uid="{32CFCB86-4EAD-1543-A535-60D08163FA9C}" name="Orf*Ang"/>
    <tableColumn id="11" xr3:uid="{7CEA2D07-D9EA-3C4D-B374-BC73685AE5EE}" name="AS*Ang"/>
    <tableColumn id="12" xr3:uid="{BF21F785-6520-3E43-980B-8094BBA27BE0}" name="Press*Ang"/>
    <tableColumn id="13" xr3:uid="{B295050E-2511-A44A-AE9B-D841B24BBD48}" name="Orf^2"/>
    <tableColumn id="14" xr3:uid="{1DE7A77C-3A0F-BD47-9CFE-10F2F98335D3}" name="AS^2"/>
    <tableColumn id="15" xr3:uid="{7C3121F6-20FD-1B47-9FF3-4E7E8A2B50CB}" name="Press^"/>
    <tableColumn id="16" xr3:uid="{A774C3D1-BC60-CA49-BEA0-EB5F5C95F304}" name="Ang^2"/>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09602EA-5056-B74F-9778-1C15DAA18A8A}" name="FRTable" displayName="FRTable" ref="A1:D223" totalsRowShown="0" headerRowDxfId="12" dataDxfId="11">
  <autoFilter ref="A1:D223" xr:uid="{609602EA-5056-B74F-9778-1C15DAA18A8A}"/>
  <tableColumns count="4">
    <tableColumn id="1" xr3:uid="{2DF1D48E-F4D3-BB40-B80A-3DB9E64F620C}" name="Nozzle" dataDxfId="10"/>
    <tableColumn id="2" xr3:uid="{D512911B-427B-D047-BFDA-2BB0D0292CE8}" name="Orifice" dataDxfId="9"/>
    <tableColumn id="3" xr3:uid="{3B418B47-7135-5542-AB66-52EDD85E5FEA}" name="a" dataDxfId="8"/>
    <tableColumn id="4" xr3:uid="{9086CCB5-2E9E-BC4E-A111-2F20D39FDF5E}" name="b" dataDxfId="7"/>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95245CC-FA1B-8B43-92CD-CE5B005E22A8}" name="AccuFlowFRTable" displayName="AccuFlowFRTable" ref="A227:E290" totalsRowShown="0" headerRowDxfId="6" dataDxfId="5">
  <autoFilter ref="A227:E290" xr:uid="{E95245CC-FA1B-8B43-92CD-CE5B005E22A8}"/>
  <tableColumns count="5">
    <tableColumn id="1" xr3:uid="{54E14EEA-B13F-534E-81D9-E4E4DBB9E67A}" name="Nozzle" dataDxfId="4"/>
    <tableColumn id="2" xr3:uid="{F53C42A2-B197-CE4A-A57B-48392C0CF6E7}" name="Orifice" dataDxfId="3"/>
    <tableColumn id="3" xr3:uid="{E001B504-24A2-9C4E-980D-8461EAA1F2CD}" name="Restrictor" dataDxfId="2"/>
    <tableColumn id="4" xr3:uid="{AB4AB367-3FE2-B24A-8D04-25840BC3CF3B}" name="a" dataDxfId="1"/>
    <tableColumn id="5" xr3:uid="{722F6906-2104-824E-A6D7-3044F90BC2B5}" name="b" dataDxfId="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2062DEA2-AD78-B24D-9552-184FBB768E7C}" name="DV05Table_high" displayName="DV05Table_high" ref="A150:P175" totalsRowShown="0" headerRowDxfId="248" headerRowBorderDxfId="247" tableBorderDxfId="246">
  <autoFilter ref="A150:P175" xr:uid="{2062DEA2-AD78-B24D-9552-184FBB768E7C}"/>
  <tableColumns count="16">
    <tableColumn id="1" xr3:uid="{8E31CCA7-C870-B741-8332-018EB4AF504F}" name="Nozzle" dataDxfId="245"/>
    <tableColumn id="2" xr3:uid="{4121955C-29B1-F94F-8221-E7414B45FC1D}" name="Intercept"/>
    <tableColumn id="3" xr3:uid="{255168C4-851A-114E-AE9B-A79D9902420C}" name="Orifice"/>
    <tableColumn id="4" xr3:uid="{2EAEB898-258B-5044-AFB7-6F0523CB34BA}" name="Airspeed"/>
    <tableColumn id="5" xr3:uid="{8274B095-7CF2-E34F-8803-1F335B0EC122}" name="Pressure"/>
    <tableColumn id="6" xr3:uid="{5B21D97F-0E08-4643-9F34-C3E0674BAC9D}" name="Angle"/>
    <tableColumn id="7" xr3:uid="{5984C59F-90CC-C04B-A8D1-DFB587A796B9}" name="Orf*AS"/>
    <tableColumn id="8" xr3:uid="{EC453596-180E-2D49-931D-CF005D9A1817}" name="Orf*Press"/>
    <tableColumn id="9" xr3:uid="{D0B4CC87-A235-7446-8852-1170A0939BD9}" name="AS*Press"/>
    <tableColumn id="10" xr3:uid="{0056516A-915D-9148-9291-A69EF465CABA}" name="Orf*Ang"/>
    <tableColumn id="11" xr3:uid="{F9CCF9EF-30C4-6445-8DCC-87F05754A9F8}" name="AS*Ang"/>
    <tableColumn id="12" xr3:uid="{FC103F63-5C69-7D44-A046-CAD6184C4A4A}" name="Press*Ang"/>
    <tableColumn id="13" xr3:uid="{F128302E-D7C5-6F4C-9C02-EE8728B04087}" name="Orf^2"/>
    <tableColumn id="14" xr3:uid="{EE6F10EF-BC83-B243-8358-18C5729F1992}" name="AS^2"/>
    <tableColumn id="15" xr3:uid="{D2ECA8C5-9B4A-8F4C-9610-80A2BE172360}" name="Press^"/>
    <tableColumn id="16" xr3:uid="{1ED7B29D-1B8B-074F-95EE-EA7E3C7829EE}" name="Ang^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81C48D70-0559-2945-B5FB-38ACE7598DFC}" name="DV09Table_high" displayName="DV09Table_high" ref="A207:P232" totalsRowShown="0" headerRowDxfId="244" dataDxfId="242" headerRowBorderDxfId="243" tableBorderDxfId="241">
  <autoFilter ref="A207:P232" xr:uid="{81C48D70-0559-2945-B5FB-38ACE7598DFC}"/>
  <tableColumns count="16">
    <tableColumn id="1" xr3:uid="{0136E057-269D-C54B-AC4D-52B72CBF22EA}" name="Nozzle" dataDxfId="240"/>
    <tableColumn id="2" xr3:uid="{8348E7A2-251A-9B43-8F8C-32D20D3866F9}" name="Intercept" dataDxfId="239"/>
    <tableColumn id="3" xr3:uid="{E106B71C-EBE3-234F-94CB-BEA192757106}" name="Orifice" dataDxfId="238"/>
    <tableColumn id="4" xr3:uid="{87F608EF-7C32-DC4D-9BED-2844A80EFD62}" name="Airspeed" dataDxfId="237"/>
    <tableColumn id="5" xr3:uid="{FD381253-CE49-764D-8FA8-7DDF598C38F4}" name="Pressure" dataDxfId="236"/>
    <tableColumn id="6" xr3:uid="{BE09ED81-CFC2-6341-8781-4962988763B0}" name="Angle" dataDxfId="235"/>
    <tableColumn id="7" xr3:uid="{B3352F7A-1967-6C48-9286-A9D4D7FEC383}" name="Orf*AS" dataDxfId="234"/>
    <tableColumn id="8" xr3:uid="{0DAE4C7A-D9D9-C542-8D6A-F9508B676DC7}" name="Orf*Press" dataDxfId="233"/>
    <tableColumn id="9" xr3:uid="{E8D8EBC7-4B23-F34D-A90B-4AD10C149B98}" name="AS*Press" dataDxfId="232"/>
    <tableColumn id="10" xr3:uid="{4A58FAC4-AC6C-F84C-A00A-B7FED31AAB0C}" name="Orf*Ang" dataDxfId="231"/>
    <tableColumn id="11" xr3:uid="{51115DD5-E0C1-DB42-B466-26AA06104F63}" name="AS*Ang" dataDxfId="230"/>
    <tableColumn id="12" xr3:uid="{438D2666-DE0A-6347-9DA9-D3907E15F994}" name="Press*Ang" dataDxfId="229"/>
    <tableColumn id="13" xr3:uid="{24229BED-EE2B-E745-BEAA-428E98019EFF}" name="Orf^2" dataDxfId="228"/>
    <tableColumn id="14" xr3:uid="{A056109C-4E0D-264E-9EBD-C5B3F79A4B40}" name="AS^2" dataDxfId="227"/>
    <tableColumn id="15" xr3:uid="{F47F0402-4C79-E04A-AE11-F3A549EDCCE2}" name="Press^" dataDxfId="226"/>
    <tableColumn id="16" xr3:uid="{5785D0B0-576C-4B42-8812-F9F046170CFE}" name="Ang^2" dataDxfId="22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358213D-FB4D-8849-BAFA-922F510D229A}" name="Less100Table_high" displayName="Less100Table_high" ref="A264:P289" totalsRowShown="0" headerRowDxfId="224" dataDxfId="222" headerRowBorderDxfId="223" tableBorderDxfId="221">
  <autoFilter ref="A264:P289" xr:uid="{7358213D-FB4D-8849-BAFA-922F510D229A}"/>
  <tableColumns count="16">
    <tableColumn id="1" xr3:uid="{044730C0-BD1D-1E41-8917-C7F303B583AD}" name="Nozzle" dataDxfId="220"/>
    <tableColumn id="2" xr3:uid="{01A81858-AB61-9A41-BCA6-AA93FA3506AE}" name="Intercept" dataDxfId="219"/>
    <tableColumn id="3" xr3:uid="{0C9CCEEA-2079-F542-AFD3-BE6148078B47}" name="Orifice" dataDxfId="218"/>
    <tableColumn id="4" xr3:uid="{E218330C-466B-B045-A9C3-ED60B4F85F79}" name="Airspeed" dataDxfId="217"/>
    <tableColumn id="5" xr3:uid="{1D196FD1-5270-6E49-84F7-C8A8D8D8FFA0}" name="Pressure" dataDxfId="216"/>
    <tableColumn id="6" xr3:uid="{B1923554-4ED0-5F4C-8FD4-3C99B847B429}" name="Angle" dataDxfId="215"/>
    <tableColumn id="7" xr3:uid="{22F343CF-C2CF-D749-BA08-6B36B0A01AED}" name="Orf*AS" dataDxfId="214"/>
    <tableColumn id="8" xr3:uid="{6B790103-B85C-D84C-8AC4-A6C2CCC31092}" name="Orf*Press" dataDxfId="213"/>
    <tableColumn id="9" xr3:uid="{7DBAAB51-DA34-F747-8A7A-38728B5C1F46}" name="AS*Press" dataDxfId="212"/>
    <tableColumn id="10" xr3:uid="{8B9887B8-C4D4-C14B-BA37-F66A9FCD2A68}" name="Orf*Ang" dataDxfId="211"/>
    <tableColumn id="11" xr3:uid="{5901879C-3973-F64B-843F-699680A93ECA}" name="AS*Ang" dataDxfId="210"/>
    <tableColumn id="12" xr3:uid="{9D225519-0765-0A47-BD3A-04929C12EFCE}" name="Press*Ang" dataDxfId="209"/>
    <tableColumn id="13" xr3:uid="{7F3698CB-7CA5-714A-8921-1168920B06F3}" name="Orf^2" dataDxfId="208"/>
    <tableColumn id="14" xr3:uid="{56596663-605F-3C44-B84C-637115C3BB12}" name="AS^2" dataDxfId="207"/>
    <tableColumn id="15" xr3:uid="{E6330B6E-4889-394D-8C3B-927ACE1A7A8C}" name="Press^" dataDxfId="206"/>
    <tableColumn id="16" xr3:uid="{2800D052-0F55-DC49-BE21-B23117E05C52}" name="Ang^2" dataDxfId="20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3735758-CA6A-2A4C-AEC5-CDB2A0804C75}" name="Less200Table_high" displayName="Less200Table_high" ref="A322:P347" totalsRowShown="0" headerRowDxfId="204" tableBorderDxfId="203">
  <autoFilter ref="A322:P347" xr:uid="{E3735758-CA6A-2A4C-AEC5-CDB2A0804C75}"/>
  <tableColumns count="16">
    <tableColumn id="1" xr3:uid="{D4631DA5-6E5F-9447-89C7-53704C02EC66}" name="Nozzle" dataDxfId="202"/>
    <tableColumn id="2" xr3:uid="{ABD98B58-3DED-834F-BBB3-19A81BAE1AA6}" name="Intercept"/>
    <tableColumn id="3" xr3:uid="{3DE5D919-A873-0A45-A0FF-1D343B0DB6E4}" name="Orifice"/>
    <tableColumn id="4" xr3:uid="{0FC83C9C-9B88-7146-8D81-A90F28DA340E}" name="Airspeed"/>
    <tableColumn id="5" xr3:uid="{158E8D76-17EA-0C43-B1AE-ABDE56B44B59}" name="Pressure"/>
    <tableColumn id="6" xr3:uid="{F8876F76-6275-FD42-843B-E5BD32BC8DEA}" name="Angle"/>
    <tableColumn id="7" xr3:uid="{408629A0-3541-6C47-A553-D6CF1C98D305}" name="Orf*AS"/>
    <tableColumn id="8" xr3:uid="{6CDDE137-3801-234A-9240-4E4F6CCD639C}" name="Orf*Press"/>
    <tableColumn id="9" xr3:uid="{AD00DBEA-57E1-F746-94E3-6F37C924E5CC}" name="AS*Press"/>
    <tableColumn id="10" xr3:uid="{9831B9F6-C691-234D-B7A1-214D4110951F}" name="Orf*Ang"/>
    <tableColumn id="11" xr3:uid="{33EA58ED-82FF-9446-8B7B-C5A37A6AE31D}" name="AS*Ang"/>
    <tableColumn id="12" xr3:uid="{9EF7AFBA-D66C-A341-ACC9-CCD3AAF7DC2E}" name="Press*Ang"/>
    <tableColumn id="13" xr3:uid="{54ED1CEF-8C7A-634A-AE41-2124C4114E73}" name="Orf^2"/>
    <tableColumn id="14" xr3:uid="{539375F3-8FDA-3F4B-A11F-9145B67C12A4}" name="AS^2"/>
    <tableColumn id="15" xr3:uid="{297EADED-7D1E-C044-B36B-F063BDD1CD0E}" name="Press^"/>
    <tableColumn id="16" xr3:uid="{D2F345D1-E90B-E140-B34E-A5A864352D63}" name="Ang^2"/>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0C81CD7-9445-D047-95F7-A86262C0A4CF}" name="OrfTable" displayName="OrfTable" ref="A380:Q407" totalsRowShown="0" headerRowDxfId="201" dataDxfId="199" headerRowBorderDxfId="200" tableBorderDxfId="198">
  <autoFilter ref="A380:Q407" xr:uid="{50C81CD7-9445-D047-95F7-A86262C0A4CF}"/>
  <tableColumns count="17">
    <tableColumn id="1" xr3:uid="{410D75D5-417B-BD44-91A7-DCDCC685F97A}" name="Nozzle" dataDxfId="197"/>
    <tableColumn id="2" xr3:uid="{9D4124C3-9031-C646-ADA9-4CB3AEE5FB08}" name="Range" dataDxfId="196"/>
    <tableColumn id="3" xr3:uid="{2D42767C-044A-F145-B1AE-0B4071FC224A}" name="v1" dataDxfId="195"/>
    <tableColumn id="4" xr3:uid="{442F469A-8E00-B642-A383-3FF2C2F2D0F1}" name="v2" dataDxfId="194"/>
    <tableColumn id="5" xr3:uid="{D34D54D8-794A-D14C-A6C3-DC1428BEB8F7}" name="v3" dataDxfId="193"/>
    <tableColumn id="6" xr3:uid="{5B97BD41-631B-D147-95C9-8E528080980F}" name="v4" dataDxfId="192"/>
    <tableColumn id="7" xr3:uid="{D265FA91-D789-7D45-89BE-C3A03388B02F}" name="v5" dataDxfId="191"/>
    <tableColumn id="8" xr3:uid="{EA61E9A2-BD61-D94F-A436-2624124F5C7B}" name="v6" dataDxfId="190"/>
    <tableColumn id="9" xr3:uid="{7EBF23EC-BE3C-5D40-8B0D-389620DD5F17}" name="v7" dataDxfId="189"/>
    <tableColumn id="10" xr3:uid="{4C7CDD82-CBF9-BF49-A24B-BBC56B5C0094}" name="v8" dataDxfId="188"/>
    <tableColumn id="11" xr3:uid="{2EA994D2-58CD-E14E-98F1-1593A735F8EF}" name="v9" dataDxfId="187"/>
    <tableColumn id="12" xr3:uid="{1CBC3F82-7308-EF41-82F8-79A9712EA4AB}" name="v10" dataDxfId="186"/>
    <tableColumn id="13" xr3:uid="{77C8A556-3AE3-F746-84A2-0DDEC7AFB0A2}" name="v11" dataDxfId="185"/>
    <tableColumn id="14" xr3:uid="{502A7B36-1A82-4F46-A690-E9CBEDB0FEF4}" name="v12" dataDxfId="184"/>
    <tableColumn id="15" xr3:uid="{F96F2631-80C8-6640-8DAC-D425CFA2FE0E}" name="v13" dataDxfId="183"/>
    <tableColumn id="16" xr3:uid="{4BEAA2BA-C193-FC4E-8F44-4678BF00EDFD}" name="v14" dataDxfId="182"/>
    <tableColumn id="17" xr3:uid="{DC773E70-69EB-D347-BCA2-C83BD54019BB}" name="v15" dataDxfId="181"/>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A252FD7B-6DEA-8649-A3B9-B6D48C88E8A3}" name="AngTable_high" displayName="AngTable_high" ref="A418:P444" totalsRowShown="0" headerRowDxfId="180" dataDxfId="178" headerRowBorderDxfId="179" tableBorderDxfId="177">
  <autoFilter ref="A418:P444" xr:uid="{A252FD7B-6DEA-8649-A3B9-B6D48C88E8A3}"/>
  <tableColumns count="16">
    <tableColumn id="1" xr3:uid="{1716E8CB-1E55-6641-95EB-D87482EEA509}" name="Nozzle" dataDxfId="176"/>
    <tableColumn id="2" xr3:uid="{3ECA36F2-6335-1B43-9C51-EE9B00C12227}" name="Text" dataDxfId="175"/>
    <tableColumn id="3" xr3:uid="{ECE70103-E09D-C241-A4B1-77317848369D}" name="v1" dataDxfId="174"/>
    <tableColumn id="4" xr3:uid="{0797229F-0456-0D49-9579-1098F240DA1F}" name="v2" dataDxfId="173"/>
    <tableColumn id="5" xr3:uid="{FEDEB3B8-6DA1-694E-B084-467BF6D90DAD}" name="v3" dataDxfId="172"/>
    <tableColumn id="6" xr3:uid="{90AAA17D-EEEC-304D-A7D7-4D6F1FBB25D0}" name="v4" dataDxfId="171"/>
    <tableColumn id="7" xr3:uid="{7C368CE8-6C7A-494C-8605-1AEA063D121E}" name="v5" dataDxfId="170"/>
    <tableColumn id="8" xr3:uid="{B446981B-443F-2343-B63F-69C73E90A4FF}" name="v6" dataDxfId="169"/>
    <tableColumn id="9" xr3:uid="{90B76524-9327-2147-8D01-BCA6475A8335}" name="v7" dataDxfId="168"/>
    <tableColumn id="10" xr3:uid="{77812C82-057E-AD4B-9BF4-74CA1C67289B}" name="v8" dataDxfId="167"/>
    <tableColumn id="11" xr3:uid="{BD6EC984-D451-E247-A9BA-5617D00E1EF8}" name="v9" dataDxfId="166"/>
    <tableColumn id="12" xr3:uid="{CD4CE5FE-6B48-B741-B53D-469C0CD74E44}" name="v10" dataDxfId="165"/>
    <tableColumn id="13" xr3:uid="{512E302D-9ADC-A841-9ED6-43D522E8D988}" name="v11" dataDxfId="164"/>
    <tableColumn id="14" xr3:uid="{2D929AFA-5D24-C942-A152-92C7ADABE995}" name="v12" dataDxfId="163"/>
    <tableColumn id="15" xr3:uid="{01D14122-97D4-8141-BAE1-1576A4258A38}" name="v13" dataDxfId="162"/>
    <tableColumn id="16" xr3:uid="{505AA7D6-D2F0-9A42-82F3-9F5FC98A6F57}" name="Range" dataDxfId="161"/>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2040DDC-B4B2-454C-BBC6-CFB89E10CF57}" name="PressTable_high" displayName="PressTable_high" ref="A536:O562" totalsRowShown="0" headerRowDxfId="160" dataDxfId="159">
  <autoFilter ref="A536:O562" xr:uid="{32040DDC-B4B2-454C-BBC6-CFB89E10CF57}"/>
  <tableColumns count="15">
    <tableColumn id="1" xr3:uid="{27792CB5-A90C-244D-98B4-8924E746F358}" name="Nozzle" dataDxfId="158">
      <calculatedColumnFormula>A28</calculatedColumnFormula>
    </tableColumn>
    <tableColumn id="2" xr3:uid="{2487B0B9-EFE8-AC40-B761-A7E703996ADA}" name="v1" dataDxfId="157"/>
    <tableColumn id="3" xr3:uid="{FAAA0CFB-5A58-204A-AF35-CAAE80A65858}" name="v2" dataDxfId="156"/>
    <tableColumn id="4" xr3:uid="{AF07A07C-255C-054C-BFF9-CAAFE8CAD7D4}" name="v3" dataDxfId="155"/>
    <tableColumn id="5" xr3:uid="{043A62A9-A74D-8347-82C5-3F93BFDD0E7F}" name="v4" dataDxfId="154"/>
    <tableColumn id="6" xr3:uid="{11BAF70F-D018-CA44-B129-BED0669E6CF8}" name="v5" dataDxfId="153"/>
    <tableColumn id="7" xr3:uid="{D780D273-E5F4-934E-8CC7-CC1EA56B247B}" name="v6" dataDxfId="152"/>
    <tableColumn id="8" xr3:uid="{948DD87F-F677-B340-9592-B1A6D4BF8B76}" name="v7" dataDxfId="151"/>
    <tableColumn id="9" xr3:uid="{5A677A94-1FF4-0B44-92AA-E445BBA3A8A9}" name="v8" dataDxfId="150"/>
    <tableColumn id="10" xr3:uid="{1A3B9B77-2000-B14C-930D-ACFC2DD8D32F}" name="v9" dataDxfId="149"/>
    <tableColumn id="11" xr3:uid="{5D598F79-33EB-2648-8E2E-66CE98820226}" name="v10" dataDxfId="148"/>
    <tableColumn id="12" xr3:uid="{107328A6-FDEA-E545-A780-DBF78CA714AD}" name="v11" dataDxfId="147"/>
    <tableColumn id="13" xr3:uid="{728E9412-9953-114E-BEF2-E8214A1B2810}" name="v12" dataDxfId="146"/>
    <tableColumn id="14" xr3:uid="{AB375A5F-F1EE-4745-879A-5885F1A99857}" name="v13" dataDxfId="145"/>
    <tableColumn id="15" xr3:uid="{A79DAB44-C78E-AC4A-8A07-634A159169CA}" name="Range" dataDxfId="14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xmlns="">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18" Type="http://schemas.openxmlformats.org/officeDocument/2006/relationships/table" Target="../tables/table18.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 Type="http://schemas.openxmlformats.org/officeDocument/2006/relationships/table" Target="../tables/table2.xml"/><Relationship Id="rId16" Type="http://schemas.openxmlformats.org/officeDocument/2006/relationships/table" Target="../tables/table16.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19" Type="http://schemas.openxmlformats.org/officeDocument/2006/relationships/table" Target="../tables/table19.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_rels/sheet3.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table" Target="../tables/table2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G313"/>
  <sheetViews>
    <sheetView tabSelected="1" topLeftCell="A4" zoomScale="120" zoomScaleNormal="120" workbookViewId="0">
      <selection activeCell="P18" sqref="P18"/>
    </sheetView>
  </sheetViews>
  <sheetFormatPr baseColWidth="10" defaultColWidth="8.83203125" defaultRowHeight="12.75" customHeight="1"/>
  <cols>
    <col min="1" max="1" width="2.6640625" style="1" customWidth="1"/>
    <col min="2" max="2" width="1.5" style="1" customWidth="1"/>
    <col min="3" max="3" width="12.33203125" customWidth="1"/>
    <col min="4" max="4" width="10" customWidth="1"/>
    <col min="5" max="5" width="9.6640625" customWidth="1"/>
    <col min="6" max="6" width="8.33203125" customWidth="1"/>
    <col min="7" max="16" width="6.83203125" customWidth="1"/>
    <col min="17" max="18" width="5.33203125" customWidth="1"/>
    <col min="19" max="19" width="10.5" customWidth="1"/>
    <col min="20" max="20" width="2" customWidth="1"/>
    <col min="21" max="21" width="10.6640625" customWidth="1"/>
    <col min="22" max="22" width="8" customWidth="1"/>
    <col min="23" max="23" width="9.33203125" customWidth="1"/>
    <col min="24" max="24" width="8.6640625" customWidth="1"/>
    <col min="25" max="25" width="7.83203125" customWidth="1"/>
    <col min="26" max="27" width="5.33203125" customWidth="1"/>
    <col min="28" max="28" width="8" customWidth="1"/>
    <col min="29" max="29" width="5.33203125" customWidth="1"/>
    <col min="30" max="30" width="10.6640625" style="5" customWidth="1"/>
    <col min="31" max="31" width="11" style="5" customWidth="1"/>
    <col min="32" max="45" width="8.6640625" style="5" customWidth="1"/>
    <col min="46" max="46" width="8.6640625" customWidth="1"/>
    <col min="47" max="47" width="7.5" customWidth="1"/>
    <col min="53" max="79" width="8.83203125" style="1"/>
  </cols>
  <sheetData>
    <row r="1" spans="1:189" ht="12" customHeight="1" thickBot="1">
      <c r="C1" s="2"/>
      <c r="D1" s="2"/>
      <c r="E1" s="3"/>
      <c r="F1" s="1"/>
      <c r="G1" s="1"/>
      <c r="H1" s="1"/>
      <c r="I1" s="1"/>
      <c r="J1" s="1"/>
      <c r="K1" s="1"/>
      <c r="L1" s="1"/>
      <c r="M1" s="1"/>
      <c r="N1" s="1"/>
      <c r="O1" s="1"/>
      <c r="P1" s="1"/>
      <c r="Q1" s="1"/>
      <c r="R1" s="1"/>
      <c r="S1" s="1"/>
      <c r="T1" s="1"/>
      <c r="U1" s="5"/>
      <c r="V1" s="6"/>
      <c r="W1" s="5"/>
      <c r="X1" s="5"/>
      <c r="Y1" s="5"/>
      <c r="Z1" s="5"/>
      <c r="AA1" s="5"/>
      <c r="AB1" s="5"/>
      <c r="AC1" s="5"/>
      <c r="AT1" s="5"/>
      <c r="AU1" s="5"/>
      <c r="AV1" s="5"/>
      <c r="AW1" s="5"/>
      <c r="AX1" s="5"/>
      <c r="AY1" s="5"/>
      <c r="AZ1" s="5"/>
      <c r="BA1" s="5"/>
      <c r="BB1" s="5"/>
      <c r="BC1" s="5"/>
      <c r="BD1" s="5"/>
      <c r="BE1" s="5"/>
      <c r="BF1" s="5"/>
      <c r="BG1" s="5"/>
      <c r="BH1" s="5"/>
      <c r="BI1" s="5"/>
      <c r="BJ1" s="5"/>
      <c r="BK1" s="5"/>
      <c r="BL1" s="5"/>
      <c r="BM1" s="5"/>
      <c r="BN1" s="5"/>
      <c r="BO1" s="5"/>
      <c r="BP1" s="5"/>
      <c r="BQ1" s="5"/>
      <c r="BR1" s="5"/>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row>
    <row r="2" spans="1:189" ht="9" customHeight="1">
      <c r="B2" s="57"/>
      <c r="C2" s="58"/>
      <c r="D2" s="58"/>
      <c r="E2" s="59"/>
      <c r="F2" s="60"/>
      <c r="G2" s="60"/>
      <c r="H2" s="60"/>
      <c r="I2" s="60"/>
      <c r="J2" s="60"/>
      <c r="K2" s="60"/>
      <c r="L2" s="60"/>
      <c r="M2" s="60"/>
      <c r="N2" s="60"/>
      <c r="O2" s="60"/>
      <c r="P2" s="60"/>
      <c r="Q2" s="60"/>
      <c r="R2" s="60"/>
      <c r="S2" s="60"/>
      <c r="T2" s="61"/>
      <c r="U2" s="5"/>
      <c r="V2" s="6"/>
      <c r="W2" s="5"/>
      <c r="X2" s="5"/>
      <c r="Y2" s="5"/>
      <c r="Z2" s="5"/>
      <c r="AA2" s="5"/>
      <c r="AB2" s="5"/>
      <c r="AC2" s="5"/>
      <c r="AT2" s="5"/>
      <c r="AU2" s="5"/>
      <c r="AV2" s="5"/>
      <c r="AW2" s="5"/>
      <c r="AX2" s="5"/>
      <c r="AY2" s="5"/>
      <c r="AZ2" s="5"/>
      <c r="BA2" s="5"/>
      <c r="BB2" s="5"/>
      <c r="BC2" s="5"/>
      <c r="BD2" s="5"/>
      <c r="BE2" s="5"/>
      <c r="BF2" s="5"/>
      <c r="BG2" s="5"/>
      <c r="BH2" s="5"/>
      <c r="BI2" s="5"/>
      <c r="BJ2" s="5"/>
      <c r="BK2" s="5"/>
      <c r="BL2" s="5"/>
      <c r="BM2" s="5"/>
      <c r="BN2" s="5"/>
      <c r="BO2" s="5"/>
      <c r="BP2" s="5"/>
      <c r="BQ2" s="5"/>
      <c r="BR2" s="5"/>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row>
    <row r="3" spans="1:189" ht="23.25" customHeight="1">
      <c r="B3" s="62"/>
      <c r="C3" s="17"/>
      <c r="D3" s="17"/>
      <c r="E3" s="18"/>
      <c r="F3" s="15"/>
      <c r="G3" s="203" t="s">
        <v>213</v>
      </c>
      <c r="H3" s="203"/>
      <c r="I3" s="203"/>
      <c r="J3" s="203"/>
      <c r="K3" s="203"/>
      <c r="L3" s="203"/>
      <c r="M3" s="203"/>
      <c r="N3" s="203"/>
      <c r="O3" s="15"/>
      <c r="P3" s="15"/>
      <c r="Q3" s="15"/>
      <c r="R3" s="15"/>
      <c r="S3" s="15"/>
      <c r="T3" s="63"/>
      <c r="U3" s="5"/>
      <c r="V3" s="6"/>
      <c r="W3" s="5"/>
      <c r="X3" s="5"/>
      <c r="Y3" s="5"/>
      <c r="Z3" s="5"/>
      <c r="AA3" s="5"/>
      <c r="AB3" s="5"/>
      <c r="AC3" s="5"/>
      <c r="AT3" s="5"/>
      <c r="AU3" s="5"/>
      <c r="AV3" s="5"/>
      <c r="AW3" s="5"/>
      <c r="AX3" s="5"/>
      <c r="AY3" s="5"/>
      <c r="AZ3" s="5"/>
      <c r="BA3" s="5"/>
      <c r="BB3" s="5"/>
      <c r="BC3" s="5"/>
      <c r="BD3" s="5"/>
      <c r="BE3" s="5"/>
      <c r="BF3" s="5"/>
      <c r="BG3" s="5"/>
      <c r="BH3" s="5"/>
      <c r="BI3" s="5"/>
      <c r="BJ3" s="5"/>
      <c r="BK3" s="5"/>
      <c r="BL3" s="5"/>
      <c r="BM3" s="5"/>
      <c r="BN3" s="5"/>
      <c r="BO3" s="5"/>
      <c r="BP3" s="5"/>
      <c r="BQ3" s="5"/>
      <c r="BR3" s="5"/>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row>
    <row r="4" spans="1:189" ht="42" customHeight="1">
      <c r="B4" s="62"/>
      <c r="C4" s="17"/>
      <c r="D4" s="17"/>
      <c r="E4" s="18"/>
      <c r="F4" s="15"/>
      <c r="G4" s="203"/>
      <c r="H4" s="203"/>
      <c r="I4" s="203"/>
      <c r="J4" s="203"/>
      <c r="K4" s="203"/>
      <c r="L4" s="203"/>
      <c r="M4" s="203"/>
      <c r="N4" s="203"/>
      <c r="O4" s="15"/>
      <c r="P4" s="15"/>
      <c r="Q4" s="15"/>
      <c r="R4" s="15"/>
      <c r="S4" s="15"/>
      <c r="T4" s="63"/>
      <c r="U4" s="5"/>
      <c r="V4" s="6"/>
      <c r="W4" s="5"/>
      <c r="X4" s="5"/>
      <c r="Y4" s="5"/>
      <c r="Z4" s="5"/>
      <c r="AA4" s="5"/>
      <c r="AB4" s="5"/>
      <c r="AC4" s="5"/>
      <c r="AT4" s="5"/>
      <c r="AU4" s="5"/>
      <c r="AV4" s="5"/>
      <c r="AW4" s="5"/>
      <c r="AX4" s="5"/>
      <c r="AY4" s="5"/>
      <c r="AZ4" s="5"/>
      <c r="BA4" s="5"/>
      <c r="BB4" s="5"/>
      <c r="BC4" s="5"/>
      <c r="BD4" s="5"/>
      <c r="BE4" s="5"/>
      <c r="BF4" s="5"/>
      <c r="BG4" s="5"/>
      <c r="BH4" s="5"/>
      <c r="BI4" s="5"/>
      <c r="BJ4" s="5"/>
      <c r="BK4" s="5"/>
      <c r="BL4" s="5"/>
      <c r="BM4" s="5"/>
      <c r="BN4" s="5"/>
      <c r="BO4" s="5"/>
      <c r="BP4" s="5"/>
      <c r="BQ4" s="5"/>
      <c r="BR4" s="5"/>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row>
    <row r="5" spans="1:189" ht="24" customHeight="1" thickBot="1">
      <c r="B5" s="62"/>
      <c r="C5" s="203" t="s">
        <v>165</v>
      </c>
      <c r="D5" s="203"/>
      <c r="E5" s="203"/>
      <c r="F5" s="203"/>
      <c r="G5" s="144"/>
      <c r="H5" s="144"/>
      <c r="I5" s="144"/>
      <c r="J5" s="144"/>
      <c r="K5" s="144"/>
      <c r="L5" s="144"/>
      <c r="M5" s="144"/>
      <c r="N5" s="144"/>
      <c r="O5" s="15"/>
      <c r="P5" s="15"/>
      <c r="Q5" s="15"/>
      <c r="R5" s="15"/>
      <c r="S5" s="15"/>
      <c r="T5" s="63"/>
      <c r="U5" s="5"/>
      <c r="V5" s="6"/>
      <c r="W5" s="5"/>
      <c r="X5" s="5"/>
      <c r="Y5" s="5"/>
      <c r="Z5" s="5"/>
      <c r="AA5" s="5"/>
      <c r="AB5" s="5"/>
      <c r="AC5" s="5"/>
      <c r="AT5" s="5"/>
      <c r="AU5" s="5"/>
      <c r="AV5" s="5"/>
      <c r="AW5" s="5"/>
      <c r="AX5" s="5"/>
      <c r="AY5" s="5"/>
      <c r="AZ5" s="5"/>
      <c r="BA5" s="5"/>
      <c r="BB5" s="5"/>
      <c r="BC5" s="5"/>
      <c r="BD5" s="5"/>
      <c r="BE5" s="5"/>
      <c r="BF5" s="5"/>
      <c r="BG5" s="5"/>
      <c r="BH5" s="5"/>
      <c r="BI5" s="5"/>
      <c r="BJ5" s="5"/>
      <c r="BK5" s="5"/>
      <c r="BL5" s="5"/>
      <c r="BM5" s="5"/>
      <c r="BN5" s="5"/>
      <c r="BO5" s="5"/>
      <c r="BP5" s="5"/>
      <c r="BQ5" s="5"/>
      <c r="BR5" s="5"/>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row>
    <row r="6" spans="1:189" ht="32" customHeight="1">
      <c r="B6" s="62"/>
      <c r="C6" s="203"/>
      <c r="D6" s="203"/>
      <c r="E6" s="203"/>
      <c r="F6" s="203"/>
      <c r="G6" s="214" t="s">
        <v>161</v>
      </c>
      <c r="H6" s="215"/>
      <c r="I6" s="215"/>
      <c r="J6" s="215"/>
      <c r="K6" s="216"/>
      <c r="L6" s="213" t="s">
        <v>230</v>
      </c>
      <c r="M6" s="213"/>
      <c r="N6" s="213"/>
      <c r="O6" s="213"/>
      <c r="P6" s="213"/>
      <c r="Q6" s="213"/>
      <c r="R6" s="213"/>
      <c r="S6" s="213"/>
      <c r="T6" s="63"/>
      <c r="U6" s="5"/>
      <c r="V6" s="6"/>
      <c r="W6" s="5"/>
      <c r="X6" s="5"/>
      <c r="Y6" s="5"/>
      <c r="Z6" s="5"/>
      <c r="AA6" s="5"/>
      <c r="AB6" s="5"/>
      <c r="AC6" s="5"/>
      <c r="AT6" s="5"/>
      <c r="AU6" s="5"/>
      <c r="AV6" s="5"/>
      <c r="AW6" s="5"/>
      <c r="AX6" s="5"/>
      <c r="AY6" s="5"/>
      <c r="AZ6" s="5"/>
      <c r="BA6" s="5"/>
      <c r="BB6" s="5"/>
      <c r="BC6" s="5"/>
      <c r="BD6" s="5"/>
      <c r="BE6" s="5"/>
      <c r="BF6" s="5"/>
      <c r="BG6" s="5"/>
      <c r="BH6" s="5"/>
      <c r="BI6" s="5"/>
      <c r="BJ6" s="5"/>
      <c r="BK6" s="5"/>
      <c r="BL6" s="5"/>
      <c r="BM6" s="5"/>
      <c r="BN6" s="5"/>
      <c r="BO6" s="5"/>
      <c r="BP6" s="5"/>
      <c r="BQ6" s="5"/>
      <c r="BR6" s="5"/>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row>
    <row r="7" spans="1:189" ht="34" customHeight="1" thickBot="1">
      <c r="B7" s="62"/>
      <c r="C7" s="203"/>
      <c r="D7" s="203"/>
      <c r="E7" s="203"/>
      <c r="F7" s="203"/>
      <c r="G7" s="217"/>
      <c r="H7" s="218"/>
      <c r="I7" s="218"/>
      <c r="J7" s="218"/>
      <c r="K7" s="219"/>
      <c r="L7" s="213" t="s">
        <v>166</v>
      </c>
      <c r="M7" s="213"/>
      <c r="N7" s="213"/>
      <c r="O7" s="213"/>
      <c r="P7" s="213"/>
      <c r="Q7" s="213"/>
      <c r="R7" s="213"/>
      <c r="S7" s="213"/>
      <c r="T7" s="63"/>
      <c r="U7" s="5"/>
      <c r="V7" s="6"/>
      <c r="W7" s="5"/>
      <c r="X7" s="5"/>
      <c r="Y7" s="5"/>
      <c r="Z7" s="5"/>
      <c r="AA7" s="5"/>
      <c r="AB7" s="5"/>
      <c r="AC7" s="5"/>
      <c r="AT7" s="5"/>
      <c r="AU7" s="5"/>
      <c r="AV7" s="5"/>
      <c r="AW7" s="5"/>
      <c r="AX7" s="5"/>
      <c r="AY7" s="5"/>
      <c r="AZ7" s="5"/>
      <c r="BA7" s="5"/>
      <c r="BB7" s="5"/>
      <c r="BC7" s="5"/>
      <c r="BD7" s="5"/>
      <c r="BE7" s="5"/>
      <c r="BF7" s="5"/>
      <c r="BG7" s="5"/>
      <c r="BH7" s="5"/>
      <c r="BI7" s="5"/>
      <c r="BJ7" s="5"/>
      <c r="BK7" s="5"/>
      <c r="BL7" s="5"/>
      <c r="BM7" s="5"/>
      <c r="BN7" s="5"/>
      <c r="BO7" s="5"/>
      <c r="BP7" s="5"/>
      <c r="BQ7" s="5"/>
      <c r="BR7" s="5"/>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row>
    <row r="8" spans="1:189" ht="18.75" customHeight="1" thickBot="1">
      <c r="B8" s="62"/>
      <c r="C8" s="203" t="s">
        <v>163</v>
      </c>
      <c r="D8" s="203"/>
      <c r="E8" s="203"/>
      <c r="F8" s="203"/>
      <c r="G8" s="15"/>
      <c r="H8" s="15"/>
      <c r="I8" s="15"/>
      <c r="J8" s="15"/>
      <c r="K8" s="15"/>
      <c r="L8" s="15"/>
      <c r="M8" s="15"/>
      <c r="N8" s="15"/>
      <c r="O8" s="15"/>
      <c r="P8" s="15"/>
      <c r="Q8" s="15"/>
      <c r="R8" s="15"/>
      <c r="S8" s="15"/>
      <c r="T8" s="63"/>
      <c r="U8" s="47"/>
      <c r="V8" s="48"/>
      <c r="W8" s="45"/>
      <c r="X8" s="45"/>
      <c r="Y8" s="45"/>
      <c r="Z8" s="45"/>
      <c r="AA8" s="45"/>
      <c r="AB8" s="45"/>
      <c r="AC8" s="45"/>
      <c r="AD8" s="45"/>
      <c r="AE8" s="45"/>
      <c r="AF8" s="45"/>
      <c r="AG8" s="45"/>
      <c r="AH8" s="45"/>
      <c r="AI8" s="45"/>
      <c r="AJ8" s="45"/>
      <c r="AK8" s="45"/>
      <c r="AL8" s="45"/>
      <c r="AM8" s="45"/>
      <c r="AN8" s="45"/>
      <c r="AO8" s="45"/>
      <c r="AP8" s="45"/>
      <c r="AQ8" s="45"/>
      <c r="AR8" s="45"/>
      <c r="AS8" s="45"/>
      <c r="AT8" s="45"/>
      <c r="AU8" s="45"/>
      <c r="AV8" s="45"/>
      <c r="AW8" s="45"/>
      <c r="AX8" s="45"/>
      <c r="AY8" s="45"/>
      <c r="AZ8" s="45"/>
      <c r="BA8" s="45"/>
      <c r="BB8" s="45"/>
      <c r="BC8" s="45"/>
      <c r="BD8" s="45"/>
      <c r="BE8" s="45"/>
      <c r="BF8" s="45"/>
      <c r="BG8" s="45"/>
      <c r="BH8" s="45"/>
      <c r="BI8" s="45"/>
      <c r="BJ8" s="46"/>
      <c r="BK8" s="5"/>
      <c r="BL8" s="5"/>
      <c r="BM8" s="5"/>
      <c r="BN8" s="5"/>
      <c r="BO8" s="5"/>
      <c r="BP8" s="5"/>
      <c r="BQ8" s="5"/>
      <c r="BR8" s="5"/>
    </row>
    <row r="9" spans="1:189" ht="47.25" customHeight="1" thickBot="1">
      <c r="B9" s="62"/>
      <c r="C9" s="203"/>
      <c r="D9" s="203"/>
      <c r="E9" s="203"/>
      <c r="F9" s="203"/>
      <c r="G9" s="206" t="s">
        <v>105</v>
      </c>
      <c r="H9" s="206"/>
      <c r="I9" s="206"/>
      <c r="J9" s="206"/>
      <c r="K9" s="206"/>
      <c r="L9" s="206"/>
      <c r="M9" s="206"/>
      <c r="N9" s="206"/>
      <c r="O9" s="206"/>
      <c r="P9" s="207"/>
      <c r="Q9" s="15"/>
      <c r="R9" s="15"/>
      <c r="S9" s="15"/>
      <c r="T9" s="63"/>
      <c r="U9" s="47"/>
      <c r="V9" s="48"/>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5"/>
      <c r="AY9" s="45"/>
      <c r="AZ9" s="45"/>
      <c r="BA9" s="45"/>
      <c r="BB9" s="45"/>
      <c r="BC9" s="45"/>
      <c r="BD9" s="45"/>
      <c r="BE9" s="45"/>
      <c r="BF9" s="45"/>
      <c r="BG9" s="45"/>
      <c r="BH9" s="45"/>
      <c r="BI9" s="45"/>
      <c r="BJ9" s="46"/>
      <c r="BK9" s="5"/>
      <c r="BL9" s="5"/>
      <c r="BM9" s="5"/>
      <c r="BN9" s="5"/>
      <c r="BO9" s="5"/>
      <c r="BP9" s="5"/>
      <c r="BQ9" s="5"/>
      <c r="BR9" s="5"/>
    </row>
    <row r="10" spans="1:189" ht="6" customHeight="1">
      <c r="B10" s="62"/>
      <c r="C10" s="15"/>
      <c r="D10" s="15"/>
      <c r="E10" s="15"/>
      <c r="F10" s="17"/>
      <c r="G10" s="15"/>
      <c r="H10" s="85"/>
      <c r="I10" s="85"/>
      <c r="J10" s="85"/>
      <c r="K10" s="85"/>
      <c r="L10" s="85"/>
      <c r="M10" s="85"/>
      <c r="N10" s="85"/>
      <c r="O10" s="85"/>
      <c r="P10" s="15"/>
      <c r="Q10" s="15"/>
      <c r="R10" s="15"/>
      <c r="S10" s="15"/>
      <c r="T10" s="63"/>
      <c r="U10" s="47"/>
      <c r="V10" s="48"/>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6"/>
      <c r="BK10" s="5"/>
      <c r="BL10" s="5"/>
      <c r="BM10" s="5"/>
      <c r="BN10" s="5"/>
      <c r="BO10" s="5"/>
      <c r="BP10" s="5"/>
      <c r="BQ10" s="5"/>
      <c r="BR10" s="5"/>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row>
    <row r="11" spans="1:189" ht="13.5" customHeight="1">
      <c r="A11" s="4"/>
      <c r="B11" s="62"/>
      <c r="C11" s="54"/>
      <c r="D11" s="54"/>
      <c r="E11" s="54"/>
      <c r="F11" s="54"/>
      <c r="G11" s="54"/>
      <c r="H11" s="54"/>
      <c r="I11" s="54"/>
      <c r="J11" s="54"/>
      <c r="K11" s="55"/>
      <c r="L11" s="54"/>
      <c r="M11" s="54"/>
      <c r="N11" s="54"/>
      <c r="O11" s="54"/>
      <c r="P11" s="54"/>
      <c r="Q11" s="54"/>
      <c r="R11" s="54"/>
      <c r="S11" s="54"/>
      <c r="T11" s="64"/>
      <c r="U11" s="47"/>
      <c r="V11" s="48"/>
      <c r="W11" s="45"/>
      <c r="X11" s="45"/>
      <c r="Y11" s="45"/>
      <c r="Z11" s="45"/>
      <c r="AA11" s="45"/>
      <c r="AB11" s="45"/>
      <c r="AC11" s="45"/>
      <c r="AD11" s="45"/>
      <c r="AE11" s="45"/>
      <c r="AF11" s="45"/>
      <c r="AG11" s="45"/>
      <c r="AH11" s="45"/>
      <c r="AI11" s="45"/>
      <c r="AJ11" s="45"/>
      <c r="AK11" s="45"/>
      <c r="AL11" s="45"/>
      <c r="AM11" s="45"/>
      <c r="AN11" s="45"/>
      <c r="AO11" s="45"/>
      <c r="AP11" s="45"/>
      <c r="AQ11" s="45"/>
      <c r="AR11" s="45"/>
      <c r="AS11" s="45"/>
      <c r="AT11" s="45"/>
      <c r="AU11" s="45"/>
      <c r="AV11" s="45"/>
      <c r="AW11" s="45"/>
      <c r="AX11" s="45"/>
      <c r="AY11" s="45"/>
      <c r="AZ11" s="45"/>
      <c r="BA11" s="45"/>
      <c r="BB11" s="45"/>
      <c r="BC11" s="45"/>
      <c r="BD11" s="45"/>
      <c r="BE11" s="45"/>
      <c r="BF11" s="45"/>
      <c r="BG11" s="45"/>
      <c r="BH11" s="45"/>
      <c r="BI11" s="45"/>
      <c r="BJ11" s="46"/>
      <c r="BK11" s="5"/>
      <c r="BL11" s="5"/>
      <c r="BM11" s="5"/>
      <c r="BN11" s="5"/>
      <c r="BO11" s="5"/>
      <c r="BP11" s="5"/>
      <c r="BQ11" s="5"/>
      <c r="BR11" s="5"/>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row>
    <row r="12" spans="1:189" ht="13.5" customHeight="1" thickBot="1">
      <c r="A12" s="4" t="s">
        <v>0</v>
      </c>
      <c r="B12" s="62"/>
      <c r="C12" s="54"/>
      <c r="D12" s="54"/>
      <c r="E12" s="54"/>
      <c r="F12" s="54"/>
      <c r="G12" s="54"/>
      <c r="H12" s="54"/>
      <c r="I12" s="54"/>
      <c r="J12" s="56"/>
      <c r="K12" s="55" t="s">
        <v>101</v>
      </c>
      <c r="L12" s="54"/>
      <c r="M12" s="54"/>
      <c r="N12" s="54"/>
      <c r="O12" s="54"/>
      <c r="P12" s="54"/>
      <c r="Q12" s="54"/>
      <c r="R12" s="54"/>
      <c r="S12" s="54"/>
      <c r="T12" s="64"/>
      <c r="U12" s="47"/>
      <c r="V12" s="48"/>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6"/>
      <c r="BK12" s="5"/>
      <c r="BL12" s="5"/>
      <c r="BM12" s="5"/>
      <c r="BN12" s="5"/>
      <c r="BO12" s="5"/>
      <c r="BP12" s="5"/>
      <c r="BQ12" s="5"/>
      <c r="BR12" s="5"/>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row>
    <row r="13" spans="1:189" ht="2.25" customHeight="1">
      <c r="A13" s="4"/>
      <c r="B13" s="62"/>
      <c r="C13" s="71"/>
      <c r="D13" s="79"/>
      <c r="E13" s="72"/>
      <c r="F13" s="72"/>
      <c r="G13" s="72"/>
      <c r="H13" s="72"/>
      <c r="I13" s="72"/>
      <c r="J13" s="72"/>
      <c r="K13" s="72"/>
      <c r="L13" s="72"/>
      <c r="M13" s="72"/>
      <c r="N13" s="72"/>
      <c r="O13" s="72"/>
      <c r="P13" s="72"/>
      <c r="Q13" s="72"/>
      <c r="R13" s="72"/>
      <c r="S13" s="73"/>
      <c r="T13" s="63"/>
      <c r="U13" s="47"/>
      <c r="V13" s="48"/>
      <c r="W13" s="45"/>
      <c r="X13" s="45"/>
      <c r="Y13" s="45"/>
      <c r="Z13" s="45"/>
      <c r="AA13" s="45"/>
      <c r="AB13" s="45"/>
      <c r="AC13" s="45"/>
      <c r="AD13" s="47"/>
      <c r="AE13" s="48"/>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6"/>
      <c r="BK13" s="5"/>
      <c r="BL13" s="5"/>
      <c r="BM13" s="5"/>
      <c r="BN13" s="5"/>
      <c r="BO13" s="5"/>
      <c r="BP13" s="5"/>
      <c r="BQ13" s="5"/>
      <c r="BR13" s="5"/>
    </row>
    <row r="14" spans="1:189" ht="20">
      <c r="A14" s="4"/>
      <c r="B14" s="62"/>
      <c r="C14" s="210" t="s">
        <v>164</v>
      </c>
      <c r="D14" s="211"/>
      <c r="E14" s="211"/>
      <c r="F14" s="211"/>
      <c r="G14" s="211"/>
      <c r="H14" s="211"/>
      <c r="I14" s="211"/>
      <c r="J14" s="211"/>
      <c r="K14" s="211"/>
      <c r="L14" s="211"/>
      <c r="M14" s="211"/>
      <c r="N14" s="211"/>
      <c r="O14" s="211"/>
      <c r="P14" s="211"/>
      <c r="Q14" s="211"/>
      <c r="R14" s="211"/>
      <c r="S14" s="212"/>
      <c r="T14" s="63"/>
      <c r="U14" s="47"/>
      <c r="V14" s="48"/>
      <c r="W14" s="45"/>
      <c r="X14" s="45"/>
      <c r="Y14" s="45"/>
      <c r="Z14" s="45"/>
      <c r="AA14" s="45"/>
      <c r="AB14" s="45"/>
      <c r="AC14" s="45"/>
      <c r="AD14" s="47"/>
      <c r="AE14" s="48"/>
      <c r="AF14" s="45"/>
      <c r="AG14" s="45"/>
      <c r="AH14" s="45"/>
      <c r="AI14" s="45"/>
      <c r="AJ14" s="45"/>
      <c r="AK14" s="45"/>
      <c r="AL14" s="49"/>
      <c r="AM14" s="45"/>
      <c r="AN14" s="45"/>
      <c r="AO14" s="45"/>
      <c r="AP14" s="45"/>
      <c r="AQ14" s="45"/>
      <c r="AR14" s="45"/>
      <c r="AS14" s="45"/>
      <c r="AT14" s="45"/>
      <c r="AU14" s="45"/>
      <c r="AV14" s="45"/>
      <c r="AW14" s="45"/>
      <c r="AX14" s="45"/>
      <c r="AY14" s="45"/>
      <c r="AZ14" s="45"/>
      <c r="BA14" s="45"/>
      <c r="BB14" s="45"/>
      <c r="BC14" s="45"/>
      <c r="BD14" s="45"/>
      <c r="BE14" s="45"/>
      <c r="BF14" s="45"/>
      <c r="BG14" s="45"/>
      <c r="BH14" s="45"/>
      <c r="BI14" s="45"/>
      <c r="BJ14" s="46"/>
      <c r="BK14" s="5"/>
      <c r="BL14" s="5"/>
      <c r="BM14" s="5"/>
      <c r="BN14" s="5"/>
      <c r="BO14" s="5"/>
      <c r="BP14" s="5"/>
      <c r="BQ14" s="5"/>
      <c r="BR14" s="5"/>
    </row>
    <row r="15" spans="1:189" ht="16">
      <c r="A15" s="4"/>
      <c r="B15" s="62"/>
      <c r="C15" s="76"/>
      <c r="D15" s="77"/>
      <c r="E15" s="77"/>
      <c r="F15" s="114"/>
      <c r="G15" s="117"/>
      <c r="H15" s="117"/>
      <c r="I15" s="114"/>
      <c r="J15" s="117"/>
      <c r="K15" s="117"/>
      <c r="L15" s="117"/>
      <c r="M15" s="114"/>
      <c r="N15" s="117"/>
      <c r="O15" s="117"/>
      <c r="P15" s="114"/>
      <c r="Q15" s="117"/>
      <c r="R15" s="77"/>
      <c r="S15" s="115"/>
      <c r="T15" s="63"/>
      <c r="U15" s="47"/>
      <c r="V15" s="48"/>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45"/>
      <c r="BA15" s="45"/>
      <c r="BB15" s="45"/>
      <c r="BC15" s="45"/>
      <c r="BD15" s="45"/>
      <c r="BE15" s="45"/>
      <c r="BF15" s="45"/>
      <c r="BG15" s="45"/>
      <c r="BH15" s="45"/>
      <c r="BI15" s="45"/>
      <c r="BJ15" s="46"/>
      <c r="BK15" s="5"/>
      <c r="BL15" s="5"/>
      <c r="BM15" s="5"/>
      <c r="BN15" s="5"/>
      <c r="BO15" s="5"/>
      <c r="BP15" s="5"/>
      <c r="BQ15" s="5"/>
      <c r="BR15" s="5"/>
    </row>
    <row r="16" spans="1:189" ht="13.5" customHeight="1">
      <c r="A16" s="4"/>
      <c r="B16" s="62"/>
      <c r="C16" s="204" t="s">
        <v>44</v>
      </c>
      <c r="D16" s="205"/>
      <c r="E16" s="77"/>
      <c r="F16" s="80" t="s">
        <v>29</v>
      </c>
      <c r="G16" s="81"/>
      <c r="H16" s="81"/>
      <c r="I16" s="80" t="str">
        <f>'Model Parameters with Tables'!B59</f>
        <v>Nozzle Angle</v>
      </c>
      <c r="J16" s="81"/>
      <c r="K16" s="81"/>
      <c r="L16" s="81"/>
      <c r="M16" s="80" t="s">
        <v>32</v>
      </c>
      <c r="N16" s="81"/>
      <c r="O16" s="81"/>
      <c r="P16" s="80" t="s">
        <v>31</v>
      </c>
      <c r="Q16" s="81"/>
      <c r="R16" s="77"/>
      <c r="S16" s="115"/>
      <c r="T16" s="63"/>
      <c r="U16" s="47"/>
      <c r="V16" s="48"/>
      <c r="W16" s="45"/>
      <c r="X16" s="45"/>
      <c r="Y16" s="45"/>
      <c r="Z16" s="45"/>
      <c r="AA16" s="45"/>
      <c r="AB16" s="45"/>
      <c r="AC16" s="45"/>
      <c r="AD16" s="50"/>
      <c r="AE16" s="45"/>
      <c r="AF16" s="45"/>
      <c r="AG16" s="45"/>
      <c r="AH16" s="45"/>
      <c r="AI16" s="45"/>
      <c r="AJ16" s="45"/>
      <c r="AK16" s="45"/>
      <c r="AL16" s="45"/>
      <c r="AM16" s="45"/>
      <c r="AN16" s="45"/>
      <c r="AO16" s="45"/>
      <c r="AP16" s="45"/>
      <c r="AQ16" s="45"/>
      <c r="AR16" s="45"/>
      <c r="AS16" s="45"/>
      <c r="AT16" s="45"/>
      <c r="AU16" s="45"/>
      <c r="AV16" s="45"/>
      <c r="AW16" s="45"/>
      <c r="AX16" s="45"/>
      <c r="AY16" s="45"/>
      <c r="AZ16" s="45"/>
      <c r="BA16" s="45"/>
      <c r="BB16" s="45"/>
      <c r="BC16" s="45"/>
      <c r="BD16" s="45"/>
      <c r="BE16" s="45"/>
      <c r="BF16" s="45"/>
      <c r="BG16" s="45"/>
      <c r="BH16" s="45"/>
      <c r="BI16" s="45"/>
      <c r="BJ16" s="46"/>
      <c r="BK16" s="5"/>
      <c r="BL16" s="5"/>
      <c r="BM16" s="5"/>
      <c r="BN16" s="5"/>
      <c r="BO16" s="5"/>
      <c r="BP16" s="5"/>
      <c r="BQ16" s="5"/>
      <c r="BR16" s="5"/>
    </row>
    <row r="17" spans="1:189" ht="17.25" customHeight="1" thickBot="1">
      <c r="A17" s="4"/>
      <c r="B17" s="62"/>
      <c r="C17" s="204"/>
      <c r="D17" s="205"/>
      <c r="E17" s="77"/>
      <c r="F17" s="81" t="str">
        <f>'Model Parameters with Tables'!B63</f>
        <v>4 to 20</v>
      </c>
      <c r="G17" s="81"/>
      <c r="H17" s="81"/>
      <c r="I17" s="81" t="str">
        <f>'Model Parameters with Tables'!B60</f>
        <v>0 to 90</v>
      </c>
      <c r="J17" s="81"/>
      <c r="K17" s="81"/>
      <c r="L17" s="81"/>
      <c r="M17" s="81" t="str">
        <f>'Model Parameters with Tables'!B61</f>
        <v>30 to 90 psi</v>
      </c>
      <c r="N17" s="81"/>
      <c r="O17" s="81"/>
      <c r="P17" s="81" t="str">
        <f>'Model Parameters with Tables'!B62</f>
        <v>120 to 180 mph</v>
      </c>
      <c r="Q17" s="81"/>
      <c r="R17" s="77"/>
      <c r="S17" s="115"/>
      <c r="T17" s="63"/>
      <c r="U17" s="47"/>
      <c r="V17" s="48"/>
      <c r="W17" s="45"/>
      <c r="X17" s="45"/>
      <c r="Y17" s="45"/>
      <c r="Z17" s="45"/>
      <c r="AA17" s="45"/>
      <c r="AB17" s="45"/>
      <c r="AC17" s="45"/>
      <c r="AD17" s="50"/>
      <c r="AE17" s="45"/>
      <c r="AF17" s="45"/>
      <c r="AG17" s="45"/>
      <c r="AH17" s="45"/>
      <c r="AI17" s="45"/>
      <c r="AJ17" s="45"/>
      <c r="AK17" s="45"/>
      <c r="AL17" s="45"/>
      <c r="AM17" s="45"/>
      <c r="AN17" s="45"/>
      <c r="AO17" s="45"/>
      <c r="AP17" s="45"/>
      <c r="AQ17" s="45"/>
      <c r="AR17" s="45"/>
      <c r="AS17" s="45"/>
      <c r="AT17" s="45"/>
      <c r="AU17" s="45"/>
      <c r="AV17" s="45"/>
      <c r="AW17" s="45"/>
      <c r="AX17" s="45"/>
      <c r="AY17" s="45"/>
      <c r="AZ17" s="45"/>
      <c r="BA17" s="45"/>
      <c r="BB17" s="45"/>
      <c r="BC17" s="45"/>
      <c r="BD17" s="45"/>
      <c r="BE17" s="45"/>
      <c r="BF17" s="45"/>
      <c r="BG17" s="45"/>
      <c r="BH17" s="45"/>
      <c r="BI17" s="45"/>
      <c r="BJ17" s="46"/>
      <c r="BK17" s="5"/>
      <c r="BL17" s="5"/>
      <c r="BM17" s="5"/>
      <c r="BN17" s="5"/>
      <c r="BO17" s="5"/>
      <c r="BP17" s="5"/>
      <c r="BQ17" s="5"/>
      <c r="BR17" s="5"/>
    </row>
    <row r="18" spans="1:189" ht="18" customHeight="1" thickBot="1">
      <c r="A18" s="4"/>
      <c r="B18" s="62"/>
      <c r="C18" s="76"/>
      <c r="D18" s="77"/>
      <c r="E18" s="78"/>
      <c r="F18" s="82">
        <v>4</v>
      </c>
      <c r="G18" s="83"/>
      <c r="H18" s="83"/>
      <c r="I18" s="82">
        <v>0</v>
      </c>
      <c r="J18" s="83" t="s">
        <v>0</v>
      </c>
      <c r="K18" s="83"/>
      <c r="L18" s="83"/>
      <c r="M18" s="82">
        <v>30</v>
      </c>
      <c r="N18" s="83"/>
      <c r="O18" s="83"/>
      <c r="P18" s="82">
        <v>140</v>
      </c>
      <c r="Q18" s="83"/>
      <c r="R18" s="77"/>
      <c r="S18" s="115"/>
      <c r="T18" s="63"/>
      <c r="U18" s="51"/>
      <c r="V18" s="52"/>
      <c r="W18" s="52"/>
      <c r="X18" s="45"/>
      <c r="Y18" s="45"/>
      <c r="Z18" s="45"/>
      <c r="AA18" s="45"/>
      <c r="AB18" s="45"/>
      <c r="AC18" s="45"/>
      <c r="AD18" s="50"/>
      <c r="AE18" s="45"/>
      <c r="AF18" s="45"/>
      <c r="AG18" s="45"/>
      <c r="AH18" s="45"/>
      <c r="AI18" s="45"/>
      <c r="AJ18" s="45"/>
      <c r="AK18" s="45"/>
      <c r="AL18" s="45"/>
      <c r="AM18" s="45"/>
      <c r="AN18" s="45"/>
      <c r="AO18" s="45"/>
      <c r="AP18" s="45"/>
      <c r="AQ18" s="45"/>
      <c r="AR18" s="45"/>
      <c r="AS18" s="45"/>
      <c r="AT18" s="45"/>
      <c r="AU18" s="45"/>
      <c r="AV18" s="45"/>
      <c r="AW18" s="45"/>
      <c r="AX18" s="45"/>
      <c r="AY18" s="45"/>
      <c r="AZ18" s="45"/>
      <c r="BA18" s="45"/>
      <c r="BB18" s="45"/>
      <c r="BC18" s="45"/>
      <c r="BD18" s="45"/>
      <c r="BE18" s="45"/>
      <c r="BF18" s="45"/>
      <c r="BG18" s="45"/>
      <c r="BH18" s="45"/>
      <c r="BI18" s="45"/>
      <c r="BJ18" s="46"/>
      <c r="BK18" s="5"/>
      <c r="BL18" s="5"/>
      <c r="BM18" s="5"/>
      <c r="BN18" s="5"/>
      <c r="BO18" s="5"/>
      <c r="BP18" s="5"/>
      <c r="BQ18" s="5"/>
      <c r="BR18" s="5"/>
    </row>
    <row r="19" spans="1:189" ht="35" customHeight="1">
      <c r="A19" s="4"/>
      <c r="B19" s="62"/>
      <c r="C19" s="76"/>
      <c r="D19" s="77"/>
      <c r="E19" s="78"/>
      <c r="F19" s="193"/>
      <c r="G19" s="83"/>
      <c r="H19" s="83"/>
      <c r="I19" s="193"/>
      <c r="J19" s="83"/>
      <c r="K19" s="220" t="s">
        <v>241</v>
      </c>
      <c r="L19" s="220"/>
      <c r="M19" s="220"/>
      <c r="N19" s="220"/>
      <c r="O19" s="220"/>
      <c r="P19" s="220"/>
      <c r="Q19" s="220"/>
      <c r="R19" s="220"/>
      <c r="S19" s="115"/>
      <c r="T19" s="63"/>
      <c r="U19" s="51"/>
      <c r="V19" s="52"/>
      <c r="W19" s="52"/>
      <c r="X19" s="45"/>
      <c r="Y19" s="45"/>
      <c r="Z19" s="45"/>
      <c r="AA19" s="45"/>
      <c r="AB19" s="45"/>
      <c r="AC19" s="45"/>
      <c r="AD19" s="50"/>
      <c r="AE19" s="45"/>
      <c r="AF19" s="45"/>
      <c r="AG19" s="45"/>
      <c r="AH19" s="45"/>
      <c r="AI19" s="45"/>
      <c r="AJ19" s="45"/>
      <c r="AK19" s="45"/>
      <c r="AL19" s="45"/>
      <c r="AM19" s="45"/>
      <c r="AN19" s="45"/>
      <c r="AO19" s="45"/>
      <c r="AP19" s="45"/>
      <c r="AQ19" s="45"/>
      <c r="AR19" s="45"/>
      <c r="AS19" s="45"/>
      <c r="AT19" s="45"/>
      <c r="AU19" s="45"/>
      <c r="AV19" s="45"/>
      <c r="AW19" s="45"/>
      <c r="AX19" s="45"/>
      <c r="AY19" s="45"/>
      <c r="AZ19" s="45"/>
      <c r="BA19" s="45"/>
      <c r="BB19" s="45"/>
      <c r="BC19" s="45"/>
      <c r="BD19" s="45"/>
      <c r="BE19" s="45"/>
      <c r="BF19" s="45"/>
      <c r="BG19" s="45"/>
      <c r="BH19" s="45"/>
      <c r="BI19" s="45"/>
      <c r="BJ19" s="46"/>
      <c r="BK19" s="5"/>
      <c r="BL19" s="5"/>
      <c r="BM19" s="5"/>
      <c r="BN19" s="5"/>
      <c r="BO19" s="5"/>
      <c r="BP19" s="5"/>
      <c r="BQ19" s="5"/>
      <c r="BR19" s="5"/>
    </row>
    <row r="20" spans="1:189" ht="7.5" customHeight="1" thickBot="1">
      <c r="A20" s="4"/>
      <c r="B20" s="62"/>
      <c r="C20" s="76"/>
      <c r="D20" s="77"/>
      <c r="E20" s="77"/>
      <c r="F20" s="77"/>
      <c r="G20" s="84"/>
      <c r="H20" s="84"/>
      <c r="I20" s="84"/>
      <c r="J20" s="84"/>
      <c r="K20" s="84"/>
      <c r="L20" s="84"/>
      <c r="M20" s="84"/>
      <c r="N20" s="84"/>
      <c r="O20" s="77"/>
      <c r="P20" s="77"/>
      <c r="Q20" s="77"/>
      <c r="R20" s="77"/>
      <c r="S20" s="115"/>
      <c r="T20" s="63"/>
      <c r="U20" s="47"/>
      <c r="V20" s="52"/>
      <c r="W20" s="52"/>
      <c r="X20" s="45"/>
      <c r="Y20" s="45"/>
      <c r="Z20" s="45"/>
      <c r="AA20" s="45"/>
      <c r="AB20" s="45"/>
      <c r="AC20" s="45"/>
      <c r="AD20" s="20"/>
      <c r="AE20" s="45"/>
      <c r="AF20" s="45"/>
      <c r="AG20" s="45"/>
      <c r="AH20" s="45"/>
      <c r="AI20" s="45"/>
      <c r="AJ20" s="45"/>
      <c r="AK20" s="45"/>
      <c r="AL20" s="45"/>
      <c r="AM20" s="45"/>
      <c r="AN20" s="45"/>
      <c r="AO20" s="45"/>
      <c r="AP20" s="45"/>
      <c r="AQ20" s="45"/>
      <c r="AR20" s="45"/>
      <c r="AS20" s="45"/>
      <c r="AT20" s="45"/>
      <c r="AU20" s="45"/>
      <c r="AV20" s="45"/>
      <c r="AW20" s="45"/>
      <c r="AX20" s="45"/>
      <c r="AY20" s="45"/>
      <c r="AZ20" s="45"/>
      <c r="BA20" s="45"/>
      <c r="BB20" s="45"/>
      <c r="BC20" s="45"/>
      <c r="BD20" s="45"/>
      <c r="BE20" s="45"/>
      <c r="BF20" s="45"/>
      <c r="BG20" s="45"/>
      <c r="BH20" s="45"/>
      <c r="BI20" s="45"/>
      <c r="BJ20" s="46"/>
      <c r="BK20" s="5"/>
      <c r="BL20" s="5"/>
      <c r="BM20" s="5"/>
      <c r="BN20" s="5"/>
      <c r="BO20" s="5"/>
      <c r="BP20" s="5"/>
      <c r="BQ20" s="5"/>
      <c r="BR20" s="5"/>
    </row>
    <row r="21" spans="1:189" ht="14.25" customHeight="1">
      <c r="A21" s="4"/>
      <c r="B21" s="62"/>
      <c r="C21" s="21"/>
      <c r="D21" s="22"/>
      <c r="E21" s="22"/>
      <c r="F21" s="29" t="s">
        <v>6</v>
      </c>
      <c r="G21" s="28"/>
      <c r="H21" s="28"/>
      <c r="I21" s="28"/>
      <c r="J21" s="28"/>
      <c r="K21" s="28"/>
      <c r="L21" s="28"/>
      <c r="M21" s="28"/>
      <c r="N21" s="28"/>
      <c r="O21" s="22"/>
      <c r="P21" s="22"/>
      <c r="Q21" s="22"/>
      <c r="R21" s="22"/>
      <c r="S21" s="23"/>
      <c r="T21" s="63"/>
      <c r="U21" s="47"/>
      <c r="V21" s="45"/>
      <c r="W21" s="52"/>
      <c r="X21" s="45"/>
      <c r="Y21" s="45"/>
      <c r="Z21" s="45"/>
      <c r="AA21" s="45"/>
      <c r="AB21" s="45"/>
      <c r="AC21" s="45"/>
      <c r="AD21" s="20"/>
      <c r="AE21" s="45"/>
      <c r="AF21" s="45"/>
      <c r="AG21" s="45"/>
      <c r="AH21" s="45"/>
      <c r="AI21" s="45"/>
      <c r="AJ21" s="45"/>
      <c r="AK21" s="45"/>
      <c r="AL21" s="45"/>
      <c r="AM21" s="45"/>
      <c r="AN21" s="45"/>
      <c r="AO21" s="45"/>
      <c r="AP21" s="45"/>
      <c r="AQ21" s="45"/>
      <c r="AR21" s="45"/>
      <c r="AS21" s="45"/>
      <c r="AT21" s="45"/>
      <c r="AU21" s="45"/>
      <c r="AV21" s="45"/>
      <c r="AW21" s="45"/>
      <c r="AX21" s="45"/>
      <c r="AY21" s="45"/>
      <c r="AZ21" s="45"/>
      <c r="BA21" s="45"/>
      <c r="BB21" s="45"/>
      <c r="BC21" s="45"/>
      <c r="BD21" s="45"/>
      <c r="BE21" s="45"/>
      <c r="BF21" s="45"/>
      <c r="BG21" s="45"/>
      <c r="BH21" s="45"/>
      <c r="BI21" s="45"/>
      <c r="BJ21" s="46"/>
      <c r="BK21" s="5"/>
      <c r="BL21" s="5"/>
      <c r="BM21" s="5"/>
      <c r="BN21" s="5"/>
      <c r="BO21" s="5"/>
      <c r="BP21" s="5"/>
      <c r="BQ21" s="5"/>
      <c r="BR21" s="5"/>
    </row>
    <row r="22" spans="1:189" s="104" customFormat="1" ht="20">
      <c r="A22" s="94"/>
      <c r="B22" s="95"/>
      <c r="C22" s="96"/>
      <c r="D22" s="136" t="s">
        <v>125</v>
      </c>
      <c r="E22" s="137">
        <f>'Model Parameters with Tables'!K44</f>
        <v>133.84346359143333</v>
      </c>
      <c r="F22" s="136" t="s">
        <v>1</v>
      </c>
      <c r="G22" s="201" t="s">
        <v>13</v>
      </c>
      <c r="H22" s="201"/>
      <c r="I22" s="201"/>
      <c r="J22" s="201"/>
      <c r="K22" s="201"/>
      <c r="L22" s="201"/>
      <c r="M22" s="201"/>
      <c r="N22" s="201"/>
      <c r="O22" s="201"/>
      <c r="P22" s="201"/>
      <c r="Q22" s="201"/>
      <c r="R22" s="201"/>
      <c r="S22" s="202"/>
      <c r="T22" s="97"/>
      <c r="U22" s="98"/>
      <c r="V22" s="98"/>
      <c r="W22" s="99"/>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c r="AT22" s="100"/>
      <c r="AU22" s="100"/>
      <c r="AV22" s="100"/>
      <c r="AW22" s="100"/>
      <c r="AX22" s="100"/>
      <c r="AY22" s="100"/>
      <c r="AZ22" s="100"/>
      <c r="BA22" s="100"/>
      <c r="BB22" s="100"/>
      <c r="BC22" s="100"/>
      <c r="BD22" s="100"/>
      <c r="BE22" s="100"/>
      <c r="BF22" s="100"/>
      <c r="BG22" s="100"/>
      <c r="BH22" s="100"/>
      <c r="BI22" s="100"/>
      <c r="BJ22" s="101"/>
      <c r="BK22" s="102"/>
      <c r="BL22" s="102"/>
      <c r="BM22" s="102"/>
      <c r="BN22" s="102"/>
      <c r="BO22" s="102"/>
      <c r="BP22" s="102"/>
      <c r="BQ22" s="102"/>
      <c r="BR22" s="102"/>
      <c r="BS22" s="103"/>
      <c r="BT22" s="103"/>
      <c r="BU22" s="103"/>
      <c r="BV22" s="103"/>
      <c r="BW22" s="103"/>
      <c r="BX22" s="103"/>
      <c r="BY22" s="103"/>
      <c r="BZ22" s="103"/>
      <c r="CA22" s="103"/>
    </row>
    <row r="23" spans="1:189" s="104" customFormat="1" ht="20">
      <c r="A23" s="94"/>
      <c r="B23" s="95"/>
      <c r="C23" s="96"/>
      <c r="D23" s="136" t="s">
        <v>126</v>
      </c>
      <c r="E23" s="138">
        <f>'Model Parameters with Tables'!K45</f>
        <v>298.96169961537782</v>
      </c>
      <c r="F23" s="136" t="s">
        <v>1</v>
      </c>
      <c r="G23" s="208" t="s">
        <v>99</v>
      </c>
      <c r="H23" s="208"/>
      <c r="I23" s="208"/>
      <c r="J23" s="208"/>
      <c r="K23" s="208"/>
      <c r="L23" s="208"/>
      <c r="M23" s="208"/>
      <c r="N23" s="208"/>
      <c r="O23" s="208"/>
      <c r="P23" s="208"/>
      <c r="Q23" s="208"/>
      <c r="R23" s="208"/>
      <c r="S23" s="209"/>
      <c r="T23" s="97"/>
      <c r="U23" s="98"/>
      <c r="V23" s="98"/>
      <c r="W23" s="99"/>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c r="AT23" s="100"/>
      <c r="AU23" s="100"/>
      <c r="AV23" s="100"/>
      <c r="AW23" s="100"/>
      <c r="AX23" s="100"/>
      <c r="AY23" s="100"/>
      <c r="AZ23" s="100"/>
      <c r="BA23" s="100"/>
      <c r="BB23" s="100"/>
      <c r="BC23" s="100"/>
      <c r="BD23" s="100"/>
      <c r="BE23" s="100"/>
      <c r="BF23" s="100"/>
      <c r="BG23" s="100"/>
      <c r="BH23" s="100"/>
      <c r="BI23" s="100"/>
      <c r="BJ23" s="101"/>
      <c r="BK23" s="102"/>
      <c r="BL23" s="102"/>
      <c r="BM23" s="102"/>
      <c r="BN23" s="102"/>
      <c r="BO23" s="102"/>
      <c r="BP23" s="102"/>
      <c r="BQ23" s="102"/>
      <c r="BR23" s="102"/>
      <c r="BS23" s="103"/>
      <c r="BT23" s="103"/>
      <c r="BU23" s="103"/>
      <c r="BV23" s="103"/>
      <c r="BW23" s="103"/>
      <c r="BX23" s="103"/>
      <c r="BY23" s="103"/>
      <c r="BZ23" s="103"/>
      <c r="CA23" s="103"/>
    </row>
    <row r="24" spans="1:189" s="104" customFormat="1" ht="20">
      <c r="A24" s="103"/>
      <c r="B24" s="95"/>
      <c r="C24" s="96"/>
      <c r="D24" s="136" t="s">
        <v>127</v>
      </c>
      <c r="E24" s="138">
        <f>'Model Parameters with Tables'!J46</f>
        <v>521.13115978458882</v>
      </c>
      <c r="F24" s="136" t="s">
        <v>1</v>
      </c>
      <c r="G24" s="201" t="s">
        <v>16</v>
      </c>
      <c r="H24" s="201"/>
      <c r="I24" s="201"/>
      <c r="J24" s="201"/>
      <c r="K24" s="201"/>
      <c r="L24" s="201"/>
      <c r="M24" s="201"/>
      <c r="N24" s="201"/>
      <c r="O24" s="201"/>
      <c r="P24" s="201"/>
      <c r="Q24" s="201"/>
      <c r="R24" s="201"/>
      <c r="S24" s="202"/>
      <c r="T24" s="97"/>
      <c r="U24" s="98"/>
      <c r="V24" s="98"/>
      <c r="W24" s="99"/>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c r="AT24" s="100"/>
      <c r="AU24" s="100"/>
      <c r="AV24" s="100"/>
      <c r="AW24" s="100"/>
      <c r="AX24" s="100"/>
      <c r="AY24" s="100"/>
      <c r="AZ24" s="100"/>
      <c r="BA24" s="100"/>
      <c r="BB24" s="100"/>
      <c r="BC24" s="100"/>
      <c r="BD24" s="100"/>
      <c r="BE24" s="100"/>
      <c r="BF24" s="100"/>
      <c r="BG24" s="100"/>
      <c r="BH24" s="100"/>
      <c r="BI24" s="100"/>
      <c r="BJ24" s="101"/>
      <c r="BK24" s="102"/>
      <c r="BL24" s="102"/>
      <c r="BM24" s="102"/>
      <c r="BN24" s="102"/>
      <c r="BO24" s="102"/>
      <c r="BP24" s="102"/>
      <c r="BQ24" s="102"/>
      <c r="BR24" s="102"/>
      <c r="BS24" s="103"/>
      <c r="BT24" s="103"/>
      <c r="BU24" s="103"/>
      <c r="BV24" s="103"/>
      <c r="BW24" s="103"/>
      <c r="BX24" s="103"/>
      <c r="BY24" s="103"/>
      <c r="BZ24" s="103"/>
      <c r="CA24" s="103"/>
    </row>
    <row r="25" spans="1:189" ht="18">
      <c r="B25" s="62"/>
      <c r="C25" s="74"/>
      <c r="D25" s="139" t="s">
        <v>2</v>
      </c>
      <c r="E25" s="140">
        <f>(E24-E22)/E23</f>
        <v>1.2954425155175777</v>
      </c>
      <c r="F25" s="141"/>
      <c r="G25" s="24" t="s">
        <v>3</v>
      </c>
      <c r="H25" s="25"/>
      <c r="I25" s="25"/>
      <c r="J25" s="25"/>
      <c r="K25" s="25"/>
      <c r="L25" s="25"/>
      <c r="M25" s="25"/>
      <c r="N25" s="25"/>
      <c r="O25" s="25"/>
      <c r="P25" s="25"/>
      <c r="Q25" s="25"/>
      <c r="R25" s="25"/>
      <c r="S25" s="26"/>
      <c r="T25" s="63"/>
      <c r="U25" s="47"/>
      <c r="V25" s="52"/>
      <c r="W25" s="52"/>
      <c r="X25" s="45"/>
      <c r="Y25" s="45"/>
      <c r="Z25" s="45"/>
      <c r="AA25" s="45"/>
      <c r="AB25" s="45"/>
      <c r="AC25" s="45"/>
      <c r="AD25" s="45"/>
      <c r="AE25" s="45"/>
      <c r="AF25" s="45"/>
      <c r="AG25" s="45"/>
      <c r="AH25" s="45"/>
      <c r="AI25" s="45"/>
      <c r="AJ25" s="45"/>
      <c r="AK25" s="45"/>
      <c r="AL25" s="45"/>
      <c r="AM25" s="45"/>
      <c r="AN25" s="45"/>
      <c r="AO25" s="45"/>
      <c r="AP25" s="45"/>
      <c r="AQ25" s="45"/>
      <c r="AR25" s="45"/>
      <c r="AS25" s="45"/>
      <c r="AT25" s="45"/>
      <c r="AU25" s="45"/>
      <c r="AV25" s="45"/>
      <c r="AW25" s="45"/>
      <c r="AX25" s="45"/>
      <c r="AY25" s="45"/>
      <c r="AZ25" s="45"/>
      <c r="BA25" s="45"/>
      <c r="BB25" s="45"/>
      <c r="BC25" s="45"/>
      <c r="BD25" s="45"/>
      <c r="BE25" s="45"/>
      <c r="BF25" s="45"/>
      <c r="BG25" s="45"/>
      <c r="BH25" s="45"/>
      <c r="BI25" s="45"/>
      <c r="BJ25" s="46"/>
      <c r="BK25" s="5"/>
      <c r="BL25" s="5"/>
      <c r="BM25" s="5"/>
      <c r="BN25" s="5"/>
      <c r="BO25" s="5"/>
      <c r="BP25" s="5"/>
      <c r="BQ25" s="5"/>
      <c r="BR25" s="5"/>
    </row>
    <row r="26" spans="1:189" ht="21">
      <c r="B26" s="62"/>
      <c r="C26" s="74"/>
      <c r="D26" s="139" t="s">
        <v>8</v>
      </c>
      <c r="E26" s="142">
        <f>'Model Parameters with Tables'!K48</f>
        <v>6.104360639555555</v>
      </c>
      <c r="F26" s="143" t="s">
        <v>4</v>
      </c>
      <c r="G26" s="24" t="s">
        <v>5</v>
      </c>
      <c r="H26" s="25"/>
      <c r="I26" s="25"/>
      <c r="J26" s="25"/>
      <c r="K26" s="25"/>
      <c r="L26" s="25"/>
      <c r="M26" s="25"/>
      <c r="N26" s="25"/>
      <c r="O26" s="25"/>
      <c r="P26" s="25"/>
      <c r="Q26" s="25"/>
      <c r="R26" s="25"/>
      <c r="S26" s="26"/>
      <c r="T26" s="63"/>
      <c r="U26" s="53"/>
      <c r="V26" s="52"/>
      <c r="W26" s="45"/>
      <c r="X26" s="45"/>
      <c r="Y26" s="45"/>
      <c r="Z26" s="45"/>
      <c r="AA26" s="45"/>
      <c r="AB26" s="45"/>
      <c r="AC26" s="45"/>
      <c r="AD26" s="45"/>
      <c r="AE26" s="45"/>
      <c r="AF26" s="45"/>
      <c r="AG26" s="45"/>
      <c r="AH26" s="45"/>
      <c r="AI26" s="45"/>
      <c r="AJ26" s="45"/>
      <c r="AK26" s="45"/>
      <c r="AL26" s="45"/>
      <c r="AM26" s="45"/>
      <c r="AN26" s="45"/>
      <c r="AO26" s="45"/>
      <c r="AP26" s="45"/>
      <c r="AQ26" s="45"/>
      <c r="AR26" s="45"/>
      <c r="AS26" s="45"/>
      <c r="AT26" s="45"/>
      <c r="AU26" s="45"/>
      <c r="AV26" s="45"/>
      <c r="AW26" s="45"/>
      <c r="AX26" s="45"/>
      <c r="AY26" s="45"/>
      <c r="AZ26" s="45"/>
      <c r="BA26" s="45"/>
      <c r="BB26" s="45"/>
      <c r="BC26" s="45"/>
      <c r="BD26" s="45"/>
      <c r="BE26" s="45"/>
      <c r="BF26" s="45"/>
      <c r="BG26" s="45"/>
      <c r="BH26" s="45"/>
      <c r="BI26" s="45"/>
      <c r="BJ26" s="46"/>
      <c r="BK26" s="5"/>
      <c r="BL26" s="5"/>
      <c r="BM26" s="5"/>
      <c r="BN26" s="5"/>
      <c r="BO26" s="5"/>
      <c r="BP26" s="5"/>
      <c r="BQ26" s="5"/>
      <c r="BR26" s="5"/>
    </row>
    <row r="27" spans="1:189" ht="22" thickBot="1">
      <c r="B27" s="62"/>
      <c r="C27" s="74"/>
      <c r="D27" s="139" t="s">
        <v>9</v>
      </c>
      <c r="E27" s="142">
        <f>'Model Parameters with Tables'!K49</f>
        <v>27.323815127777781</v>
      </c>
      <c r="F27" s="143" t="s">
        <v>4</v>
      </c>
      <c r="G27" s="27" t="s">
        <v>96</v>
      </c>
      <c r="H27" s="25"/>
      <c r="I27" s="25"/>
      <c r="J27" s="25"/>
      <c r="K27" s="25"/>
      <c r="L27" s="25"/>
      <c r="M27" s="25"/>
      <c r="N27" s="25"/>
      <c r="O27" s="25"/>
      <c r="P27" s="25"/>
      <c r="Q27" s="25"/>
      <c r="R27" s="25"/>
      <c r="S27" s="26"/>
      <c r="T27" s="63"/>
      <c r="U27" s="53"/>
      <c r="V27" s="52"/>
      <c r="W27" s="45"/>
      <c r="X27" s="45"/>
      <c r="Y27" s="45"/>
      <c r="Z27" s="45"/>
      <c r="AA27" s="45"/>
      <c r="AB27" s="45"/>
      <c r="AC27" s="45"/>
      <c r="AD27" s="45"/>
      <c r="AE27" s="45"/>
      <c r="AF27" s="45"/>
      <c r="AG27" s="45"/>
      <c r="AH27" s="45"/>
      <c r="AI27" s="45"/>
      <c r="AJ27" s="45"/>
      <c r="AK27" s="45"/>
      <c r="AL27" s="45"/>
      <c r="AM27" s="45"/>
      <c r="AN27" s="45"/>
      <c r="AO27" s="45"/>
      <c r="AP27" s="45"/>
      <c r="AQ27" s="45"/>
      <c r="AR27" s="45"/>
      <c r="AS27" s="45"/>
      <c r="AT27" s="45"/>
      <c r="AU27" s="45"/>
      <c r="AV27" s="45"/>
      <c r="AW27" s="45"/>
      <c r="AX27" s="45"/>
      <c r="AY27" s="45"/>
      <c r="AZ27" s="45"/>
      <c r="BA27" s="45"/>
      <c r="BB27" s="45"/>
      <c r="BC27" s="45"/>
      <c r="BD27" s="45"/>
      <c r="BE27" s="45"/>
      <c r="BF27" s="45"/>
      <c r="BG27" s="45"/>
      <c r="BH27" s="45"/>
      <c r="BI27" s="45"/>
      <c r="BJ27" s="46"/>
      <c r="BK27" s="5"/>
      <c r="BL27" s="5"/>
      <c r="BM27" s="5"/>
      <c r="BN27" s="5"/>
      <c r="BO27" s="5"/>
      <c r="BP27" s="5"/>
      <c r="BQ27" s="5"/>
      <c r="BR27" s="5"/>
    </row>
    <row r="28" spans="1:189" s="112" customFormat="1" ht="21">
      <c r="A28" s="105"/>
      <c r="B28" s="106"/>
      <c r="C28" s="175"/>
      <c r="D28" s="176" t="s">
        <v>128</v>
      </c>
      <c r="E28" s="177" t="str">
        <f>'Reference Nozzles S572.3'!B13</f>
        <v>MEDIUM</v>
      </c>
      <c r="F28" s="178"/>
      <c r="G28" s="179" t="s">
        <v>17</v>
      </c>
      <c r="H28" s="180"/>
      <c r="I28" s="180"/>
      <c r="J28" s="180"/>
      <c r="K28" s="180"/>
      <c r="L28" s="180"/>
      <c r="M28" s="180"/>
      <c r="N28" s="180"/>
      <c r="O28" s="180"/>
      <c r="P28" s="180"/>
      <c r="Q28" s="180"/>
      <c r="R28" s="180"/>
      <c r="S28" s="181"/>
      <c r="T28" s="107"/>
      <c r="U28" s="108"/>
      <c r="V28" s="109"/>
      <c r="W28" s="108"/>
      <c r="X28" s="108"/>
      <c r="Y28" s="108"/>
      <c r="Z28" s="108"/>
      <c r="AA28" s="108"/>
      <c r="AB28" s="108"/>
      <c r="AC28" s="108"/>
      <c r="AD28" s="108"/>
      <c r="AE28" s="108"/>
      <c r="AF28" s="108"/>
      <c r="AG28" s="108"/>
      <c r="AH28" s="108"/>
      <c r="AI28" s="108"/>
      <c r="AJ28" s="108"/>
      <c r="AK28" s="108"/>
      <c r="AL28" s="108"/>
      <c r="AM28" s="108"/>
      <c r="AN28" s="108"/>
      <c r="AO28" s="108"/>
      <c r="AP28" s="108"/>
      <c r="AQ28" s="108"/>
      <c r="AR28" s="108"/>
      <c r="AS28" s="108"/>
      <c r="AT28" s="108"/>
      <c r="AU28" s="108"/>
      <c r="AV28" s="108"/>
      <c r="AW28" s="108"/>
      <c r="AX28" s="108"/>
      <c r="AY28" s="108"/>
      <c r="AZ28" s="108"/>
      <c r="BA28" s="108"/>
      <c r="BB28" s="108"/>
      <c r="BC28" s="108"/>
      <c r="BD28" s="108"/>
      <c r="BE28" s="108"/>
      <c r="BF28" s="108"/>
      <c r="BG28" s="108"/>
      <c r="BH28" s="108"/>
      <c r="BI28" s="108"/>
      <c r="BJ28" s="110"/>
      <c r="BK28" s="111"/>
      <c r="BL28" s="111"/>
      <c r="BM28" s="111"/>
      <c r="BN28" s="111"/>
      <c r="BO28" s="111"/>
      <c r="BP28" s="111"/>
      <c r="BQ28" s="111"/>
      <c r="BR28" s="111"/>
      <c r="BS28" s="105"/>
      <c r="BT28" s="105"/>
      <c r="BU28" s="105"/>
      <c r="BV28" s="105"/>
      <c r="BW28" s="105"/>
      <c r="BX28" s="105"/>
      <c r="BY28" s="105"/>
      <c r="BZ28" s="105"/>
      <c r="CA28" s="105"/>
      <c r="CB28" s="105"/>
      <c r="CC28" s="105"/>
      <c r="CD28" s="105"/>
      <c r="CE28" s="105"/>
      <c r="CF28" s="105"/>
      <c r="CG28" s="105"/>
      <c r="CH28" s="105"/>
      <c r="CI28" s="105"/>
      <c r="CJ28" s="105"/>
      <c r="CK28" s="105"/>
      <c r="CL28" s="105"/>
      <c r="CM28" s="105"/>
      <c r="CN28" s="105"/>
      <c r="CO28" s="105"/>
      <c r="CP28" s="105"/>
      <c r="CQ28" s="105"/>
      <c r="CR28" s="105"/>
      <c r="CS28" s="105"/>
      <c r="CT28" s="105"/>
      <c r="CU28" s="105"/>
      <c r="CV28" s="105"/>
      <c r="CW28" s="105"/>
      <c r="CX28" s="105"/>
      <c r="CY28" s="105"/>
      <c r="CZ28" s="105"/>
      <c r="DA28" s="105"/>
      <c r="DB28" s="105"/>
      <c r="DC28" s="105"/>
      <c r="DD28" s="105"/>
      <c r="DE28" s="105"/>
      <c r="DF28" s="105"/>
      <c r="DG28" s="105"/>
      <c r="DH28" s="105"/>
      <c r="DI28" s="105"/>
      <c r="DJ28" s="105"/>
      <c r="DK28" s="105"/>
      <c r="DL28" s="105"/>
      <c r="DM28" s="105"/>
      <c r="DN28" s="105"/>
      <c r="DO28" s="105"/>
      <c r="DP28" s="105"/>
      <c r="DQ28" s="105"/>
      <c r="DR28" s="105"/>
      <c r="DS28" s="105"/>
      <c r="DT28" s="105"/>
      <c r="DU28" s="105"/>
      <c r="DV28" s="105"/>
      <c r="DW28" s="105"/>
      <c r="DX28" s="105"/>
      <c r="DY28" s="105"/>
      <c r="DZ28" s="105"/>
      <c r="EA28" s="105"/>
      <c r="EB28" s="105"/>
      <c r="EC28" s="105"/>
      <c r="ED28" s="105"/>
      <c r="EE28" s="105"/>
      <c r="EF28" s="105"/>
      <c r="EG28" s="105"/>
      <c r="EH28" s="105"/>
      <c r="EI28" s="105"/>
      <c r="EJ28" s="105"/>
      <c r="EK28" s="105"/>
      <c r="EL28" s="105"/>
      <c r="EM28" s="105"/>
      <c r="EN28" s="105"/>
      <c r="EO28" s="105"/>
      <c r="EP28" s="105"/>
      <c r="EQ28" s="105"/>
      <c r="ER28" s="105"/>
      <c r="ES28" s="105"/>
      <c r="ET28" s="105"/>
      <c r="EU28" s="105"/>
      <c r="EV28" s="105"/>
      <c r="EW28" s="105"/>
      <c r="EX28" s="105"/>
      <c r="EY28" s="105"/>
      <c r="EZ28" s="105"/>
      <c r="FA28" s="105"/>
      <c r="FB28" s="105"/>
      <c r="FC28" s="105"/>
      <c r="FD28" s="105"/>
      <c r="FE28" s="105"/>
      <c r="FF28" s="105"/>
      <c r="FG28" s="105"/>
      <c r="FH28" s="105"/>
      <c r="FI28" s="105"/>
      <c r="FJ28" s="105"/>
      <c r="FK28" s="105"/>
      <c r="FL28" s="105"/>
      <c r="FM28" s="105"/>
      <c r="FN28" s="105"/>
      <c r="FO28" s="105"/>
      <c r="FP28" s="105"/>
      <c r="FQ28" s="105"/>
      <c r="FR28" s="105"/>
      <c r="FS28" s="105"/>
      <c r="FT28" s="105"/>
      <c r="FU28" s="105"/>
      <c r="FV28" s="105"/>
      <c r="FW28" s="105"/>
      <c r="FX28" s="105"/>
      <c r="FY28" s="105"/>
      <c r="FZ28" s="105"/>
      <c r="GA28" s="105"/>
      <c r="GB28" s="105"/>
      <c r="GC28" s="105"/>
      <c r="GD28" s="105"/>
      <c r="GE28" s="105"/>
      <c r="GF28" s="105"/>
      <c r="GG28" s="105"/>
    </row>
    <row r="29" spans="1:189" s="112" customFormat="1" ht="21">
      <c r="A29" s="105"/>
      <c r="B29" s="106"/>
      <c r="C29" s="182"/>
      <c r="D29" s="183" t="s">
        <v>129</v>
      </c>
      <c r="E29" s="184" t="str">
        <f>'Reference Nozzles S572.3'!B14</f>
        <v>MEDIUM</v>
      </c>
      <c r="F29" s="185"/>
      <c r="G29" s="186" t="s">
        <v>18</v>
      </c>
      <c r="H29" s="187"/>
      <c r="I29" s="187"/>
      <c r="J29" s="187"/>
      <c r="K29" s="187"/>
      <c r="L29" s="187"/>
      <c r="M29" s="187"/>
      <c r="N29" s="187"/>
      <c r="O29" s="187"/>
      <c r="P29" s="187"/>
      <c r="Q29" s="187"/>
      <c r="R29" s="187"/>
      <c r="S29" s="145"/>
      <c r="T29" s="107"/>
      <c r="U29" s="108"/>
      <c r="V29" s="109"/>
      <c r="W29" s="108"/>
      <c r="X29" s="108"/>
      <c r="Y29" s="108"/>
      <c r="Z29" s="108"/>
      <c r="AA29" s="108"/>
      <c r="AB29" s="108"/>
      <c r="AC29" s="108"/>
      <c r="AD29" s="108"/>
      <c r="AE29" s="108"/>
      <c r="AF29" s="108"/>
      <c r="AG29" s="108"/>
      <c r="AH29" s="108"/>
      <c r="AI29" s="108"/>
      <c r="AJ29" s="108"/>
      <c r="AK29" s="108"/>
      <c r="AL29" s="108"/>
      <c r="AM29" s="108"/>
      <c r="AN29" s="108"/>
      <c r="AO29" s="108"/>
      <c r="AP29" s="108"/>
      <c r="AQ29" s="108"/>
      <c r="AR29" s="108"/>
      <c r="AS29" s="108"/>
      <c r="AT29" s="108"/>
      <c r="AU29" s="108"/>
      <c r="AV29" s="108"/>
      <c r="AW29" s="108"/>
      <c r="AX29" s="108"/>
      <c r="AY29" s="108"/>
      <c r="AZ29" s="108"/>
      <c r="BA29" s="108"/>
      <c r="BB29" s="108"/>
      <c r="BC29" s="108"/>
      <c r="BD29" s="108"/>
      <c r="BE29" s="108"/>
      <c r="BF29" s="108"/>
      <c r="BG29" s="108"/>
      <c r="BH29" s="108"/>
      <c r="BI29" s="108"/>
      <c r="BJ29" s="110"/>
      <c r="BK29" s="111"/>
      <c r="BL29" s="111"/>
      <c r="BM29" s="111"/>
      <c r="BN29" s="111"/>
      <c r="BO29" s="111"/>
      <c r="BP29" s="111"/>
      <c r="BQ29" s="111"/>
      <c r="BR29" s="111"/>
      <c r="BS29" s="105"/>
      <c r="BT29" s="105"/>
      <c r="BU29" s="105"/>
      <c r="BV29" s="105"/>
      <c r="BW29" s="105"/>
      <c r="BX29" s="105"/>
      <c r="BY29" s="105"/>
      <c r="BZ29" s="105"/>
      <c r="CA29" s="105"/>
      <c r="CB29" s="105"/>
      <c r="CC29" s="105"/>
      <c r="CD29" s="105"/>
      <c r="CE29" s="105"/>
      <c r="CF29" s="105"/>
      <c r="CG29" s="105"/>
      <c r="CH29" s="105"/>
      <c r="CI29" s="105"/>
      <c r="CJ29" s="105"/>
      <c r="CK29" s="105"/>
      <c r="CL29" s="105"/>
      <c r="CM29" s="105"/>
      <c r="CN29" s="105"/>
      <c r="CO29" s="105"/>
      <c r="CP29" s="105"/>
      <c r="CQ29" s="105"/>
      <c r="CR29" s="105"/>
      <c r="CS29" s="105"/>
      <c r="CT29" s="105"/>
      <c r="CU29" s="105"/>
      <c r="CV29" s="105"/>
      <c r="CW29" s="105"/>
      <c r="CX29" s="105"/>
      <c r="CY29" s="105"/>
      <c r="CZ29" s="105"/>
      <c r="DA29" s="105"/>
      <c r="DB29" s="105"/>
      <c r="DC29" s="105"/>
      <c r="DD29" s="105"/>
      <c r="DE29" s="105"/>
      <c r="DF29" s="105"/>
      <c r="DG29" s="105"/>
      <c r="DH29" s="105"/>
      <c r="DI29" s="105"/>
      <c r="DJ29" s="105"/>
      <c r="DK29" s="105"/>
      <c r="DL29" s="105"/>
      <c r="DM29" s="105"/>
      <c r="DN29" s="105"/>
      <c r="DO29" s="105"/>
      <c r="DP29" s="105"/>
      <c r="DQ29" s="105"/>
      <c r="DR29" s="105"/>
      <c r="DS29" s="105"/>
      <c r="DT29" s="105"/>
      <c r="DU29" s="105"/>
      <c r="DV29" s="105"/>
      <c r="DW29" s="105"/>
      <c r="DX29" s="105"/>
      <c r="DY29" s="105"/>
      <c r="DZ29" s="105"/>
      <c r="EA29" s="105"/>
      <c r="EB29" s="105"/>
      <c r="EC29" s="105"/>
      <c r="ED29" s="105"/>
      <c r="EE29" s="105"/>
      <c r="EF29" s="105"/>
      <c r="EG29" s="105"/>
      <c r="EH29" s="105"/>
      <c r="EI29" s="105"/>
      <c r="EJ29" s="105"/>
      <c r="EK29" s="105"/>
      <c r="EL29" s="105"/>
      <c r="EM29" s="105"/>
      <c r="EN29" s="105"/>
      <c r="EO29" s="105"/>
      <c r="EP29" s="105"/>
      <c r="EQ29" s="105"/>
      <c r="ER29" s="105"/>
      <c r="ES29" s="105"/>
      <c r="ET29" s="105"/>
      <c r="EU29" s="105"/>
      <c r="EV29" s="105"/>
      <c r="EW29" s="105"/>
      <c r="EX29" s="105"/>
      <c r="EY29" s="105"/>
      <c r="EZ29" s="105"/>
      <c r="FA29" s="105"/>
      <c r="FB29" s="105"/>
      <c r="FC29" s="105"/>
      <c r="FD29" s="105"/>
      <c r="FE29" s="105"/>
      <c r="FF29" s="105"/>
      <c r="FG29" s="105"/>
      <c r="FH29" s="105"/>
      <c r="FI29" s="105"/>
      <c r="FJ29" s="105"/>
      <c r="FK29" s="105"/>
      <c r="FL29" s="105"/>
      <c r="FM29" s="105"/>
      <c r="FN29" s="105"/>
      <c r="FO29" s="105"/>
      <c r="FP29" s="105"/>
      <c r="FQ29" s="105"/>
      <c r="FR29" s="105"/>
      <c r="FS29" s="105"/>
      <c r="FT29" s="105"/>
      <c r="FU29" s="105"/>
      <c r="FV29" s="105"/>
      <c r="FW29" s="105"/>
      <c r="FX29" s="105"/>
      <c r="FY29" s="105"/>
      <c r="FZ29" s="105"/>
      <c r="GA29" s="105"/>
      <c r="GB29" s="105"/>
      <c r="GC29" s="105"/>
      <c r="GD29" s="105"/>
      <c r="GE29" s="105"/>
      <c r="GF29" s="105"/>
      <c r="GG29" s="105"/>
    </row>
    <row r="30" spans="1:189" s="112" customFormat="1" ht="21">
      <c r="A30" s="105"/>
      <c r="B30" s="106"/>
      <c r="C30" s="182"/>
      <c r="D30" s="183" t="s">
        <v>130</v>
      </c>
      <c r="E30" s="184" t="str">
        <f>'Reference Nozzles S572.3'!B15</f>
        <v>MEDIUM</v>
      </c>
      <c r="F30" s="185"/>
      <c r="G30" s="186" t="s">
        <v>98</v>
      </c>
      <c r="H30" s="187"/>
      <c r="I30" s="187"/>
      <c r="J30" s="187"/>
      <c r="K30" s="187"/>
      <c r="L30" s="187"/>
      <c r="M30" s="187"/>
      <c r="N30" s="187"/>
      <c r="O30" s="187"/>
      <c r="P30" s="187"/>
      <c r="Q30" s="187"/>
      <c r="R30" s="187"/>
      <c r="S30" s="145"/>
      <c r="T30" s="107"/>
      <c r="U30" s="108"/>
      <c r="V30" s="109"/>
      <c r="W30" s="108"/>
      <c r="X30" s="108"/>
      <c r="Y30" s="108"/>
      <c r="Z30" s="108"/>
      <c r="AA30" s="108"/>
      <c r="AB30" s="108"/>
      <c r="AC30" s="108"/>
      <c r="AD30" s="108"/>
      <c r="AE30" s="108"/>
      <c r="AF30" s="108"/>
      <c r="AG30" s="108"/>
      <c r="AH30" s="108"/>
      <c r="AI30" s="108"/>
      <c r="AJ30" s="108"/>
      <c r="AK30" s="108"/>
      <c r="AL30" s="108"/>
      <c r="AM30" s="108"/>
      <c r="AN30" s="108"/>
      <c r="AO30" s="108"/>
      <c r="AP30" s="108"/>
      <c r="AQ30" s="108"/>
      <c r="AR30" s="108"/>
      <c r="AS30" s="108"/>
      <c r="AT30" s="108"/>
      <c r="AU30" s="108"/>
      <c r="AV30" s="108"/>
      <c r="AW30" s="108"/>
      <c r="AX30" s="108"/>
      <c r="AY30" s="108"/>
      <c r="AZ30" s="108"/>
      <c r="BA30" s="108"/>
      <c r="BB30" s="108"/>
      <c r="BC30" s="108"/>
      <c r="BD30" s="108"/>
      <c r="BE30" s="108"/>
      <c r="BF30" s="108"/>
      <c r="BG30" s="108"/>
      <c r="BH30" s="108"/>
      <c r="BI30" s="108"/>
      <c r="BJ30" s="110"/>
      <c r="BK30" s="111"/>
      <c r="BL30" s="111"/>
      <c r="BM30" s="111"/>
      <c r="BN30" s="111"/>
      <c r="BO30" s="111"/>
      <c r="BP30" s="111"/>
      <c r="BQ30" s="111"/>
      <c r="BR30" s="111"/>
      <c r="BS30" s="105"/>
      <c r="BT30" s="105"/>
      <c r="BU30" s="105"/>
      <c r="BV30" s="105"/>
      <c r="BW30" s="105"/>
      <c r="BX30" s="105"/>
      <c r="BY30" s="105"/>
      <c r="BZ30" s="105"/>
      <c r="CA30" s="105"/>
      <c r="CB30" s="105"/>
      <c r="CC30" s="105"/>
      <c r="CD30" s="105"/>
      <c r="CE30" s="105"/>
      <c r="CF30" s="105"/>
      <c r="CG30" s="105"/>
      <c r="CH30" s="105"/>
      <c r="CI30" s="105"/>
      <c r="CJ30" s="105"/>
      <c r="CK30" s="105"/>
      <c r="CL30" s="105"/>
      <c r="CM30" s="105"/>
      <c r="CN30" s="105"/>
      <c r="CO30" s="105"/>
      <c r="CP30" s="105"/>
      <c r="CQ30" s="105"/>
      <c r="CR30" s="105"/>
      <c r="CS30" s="105"/>
      <c r="CT30" s="105"/>
      <c r="CU30" s="105"/>
      <c r="CV30" s="105"/>
      <c r="CW30" s="105"/>
      <c r="CX30" s="105"/>
      <c r="CY30" s="105"/>
      <c r="CZ30" s="105"/>
      <c r="DA30" s="105"/>
      <c r="DB30" s="105"/>
      <c r="DC30" s="105"/>
      <c r="DD30" s="105"/>
      <c r="DE30" s="105"/>
      <c r="DF30" s="105"/>
      <c r="DG30" s="105"/>
      <c r="DH30" s="105"/>
      <c r="DI30" s="105"/>
      <c r="DJ30" s="105"/>
      <c r="DK30" s="105"/>
      <c r="DL30" s="105"/>
      <c r="DM30" s="105"/>
      <c r="DN30" s="105"/>
      <c r="DO30" s="105"/>
      <c r="DP30" s="105"/>
      <c r="DQ30" s="105"/>
      <c r="DR30" s="105"/>
      <c r="DS30" s="105"/>
      <c r="DT30" s="105"/>
      <c r="DU30" s="105"/>
      <c r="DV30" s="105"/>
      <c r="DW30" s="105"/>
      <c r="DX30" s="105"/>
      <c r="DY30" s="105"/>
      <c r="DZ30" s="105"/>
      <c r="EA30" s="105"/>
      <c r="EB30" s="105"/>
      <c r="EC30" s="105"/>
      <c r="ED30" s="105"/>
      <c r="EE30" s="105"/>
      <c r="EF30" s="105"/>
      <c r="EG30" s="105"/>
      <c r="EH30" s="105"/>
      <c r="EI30" s="105"/>
      <c r="EJ30" s="105"/>
      <c r="EK30" s="105"/>
      <c r="EL30" s="105"/>
      <c r="EM30" s="105"/>
      <c r="EN30" s="105"/>
      <c r="EO30" s="105"/>
      <c r="EP30" s="105"/>
      <c r="EQ30" s="105"/>
      <c r="ER30" s="105"/>
      <c r="ES30" s="105"/>
      <c r="ET30" s="105"/>
      <c r="EU30" s="105"/>
      <c r="EV30" s="105"/>
      <c r="EW30" s="105"/>
      <c r="EX30" s="105"/>
      <c r="EY30" s="105"/>
      <c r="EZ30" s="105"/>
      <c r="FA30" s="105"/>
      <c r="FB30" s="105"/>
      <c r="FC30" s="105"/>
      <c r="FD30" s="105"/>
      <c r="FE30" s="105"/>
      <c r="FF30" s="105"/>
      <c r="FG30" s="105"/>
      <c r="FH30" s="105"/>
      <c r="FI30" s="105"/>
      <c r="FJ30" s="105"/>
      <c r="FK30" s="105"/>
      <c r="FL30" s="105"/>
      <c r="FM30" s="105"/>
      <c r="FN30" s="105"/>
      <c r="FO30" s="105"/>
      <c r="FP30" s="105"/>
      <c r="FQ30" s="105"/>
      <c r="FR30" s="105"/>
      <c r="FS30" s="105"/>
      <c r="FT30" s="105"/>
      <c r="FU30" s="105"/>
      <c r="FV30" s="105"/>
      <c r="FW30" s="105"/>
      <c r="FX30" s="105"/>
      <c r="FY30" s="105"/>
      <c r="FZ30" s="105"/>
      <c r="GA30" s="105"/>
      <c r="GB30" s="105"/>
      <c r="GC30" s="105"/>
      <c r="GD30" s="105"/>
      <c r="GE30" s="105"/>
      <c r="GF30" s="105"/>
      <c r="GG30" s="105"/>
    </row>
    <row r="31" spans="1:189" s="112" customFormat="1" ht="19" thickBot="1">
      <c r="A31" s="105"/>
      <c r="B31" s="106"/>
      <c r="C31" s="188"/>
      <c r="D31" s="146" t="s">
        <v>19</v>
      </c>
      <c r="E31" s="147" t="str">
        <f>'Reference Nozzles S572.3'!B16</f>
        <v>MEDIUM</v>
      </c>
      <c r="F31" s="148"/>
      <c r="G31" s="149" t="s">
        <v>138</v>
      </c>
      <c r="H31" s="150"/>
      <c r="I31" s="150"/>
      <c r="J31" s="151"/>
      <c r="K31" s="151"/>
      <c r="L31" s="151"/>
      <c r="M31" s="151"/>
      <c r="N31" s="151"/>
      <c r="O31" s="151"/>
      <c r="P31" s="151"/>
      <c r="Q31" s="152" t="s">
        <v>0</v>
      </c>
      <c r="R31" s="151"/>
      <c r="S31" s="153"/>
      <c r="T31" s="107"/>
      <c r="U31" s="108"/>
      <c r="V31" s="109"/>
      <c r="W31" s="108"/>
      <c r="X31" s="108"/>
      <c r="Y31" s="108"/>
      <c r="Z31" s="108"/>
      <c r="AA31" s="108"/>
      <c r="AB31" s="108"/>
      <c r="AC31" s="108"/>
      <c r="AD31" s="108"/>
      <c r="AE31" s="108"/>
      <c r="AF31" s="108"/>
      <c r="AG31" s="108"/>
      <c r="AH31" s="108"/>
      <c r="AI31" s="108"/>
      <c r="AJ31" s="108"/>
      <c r="AK31" s="108"/>
      <c r="AL31" s="108"/>
      <c r="AM31" s="108"/>
      <c r="AN31" s="108"/>
      <c r="AO31" s="108"/>
      <c r="AP31" s="108"/>
      <c r="AQ31" s="108"/>
      <c r="AR31" s="108"/>
      <c r="AS31" s="108"/>
      <c r="AT31" s="108"/>
      <c r="AU31" s="108"/>
      <c r="AV31" s="108"/>
      <c r="AW31" s="108"/>
      <c r="AX31" s="108"/>
      <c r="AY31" s="108"/>
      <c r="AZ31" s="108"/>
      <c r="BA31" s="108"/>
      <c r="BB31" s="108"/>
      <c r="BC31" s="108"/>
      <c r="BD31" s="108"/>
      <c r="BE31" s="108"/>
      <c r="BF31" s="108"/>
      <c r="BG31" s="108"/>
      <c r="BH31" s="108"/>
      <c r="BI31" s="108"/>
      <c r="BJ31" s="110"/>
      <c r="BK31" s="111"/>
      <c r="BL31" s="111"/>
      <c r="BM31" s="111"/>
      <c r="BN31" s="111"/>
      <c r="BO31" s="111"/>
      <c r="BP31" s="111"/>
      <c r="BQ31" s="111"/>
      <c r="BR31" s="111"/>
      <c r="BS31" s="105"/>
      <c r="BT31" s="105"/>
      <c r="BU31" s="105"/>
      <c r="BV31" s="105"/>
      <c r="BW31" s="105"/>
      <c r="BX31" s="105"/>
      <c r="BY31" s="105"/>
      <c r="BZ31" s="105"/>
      <c r="CA31" s="105"/>
      <c r="CB31" s="105"/>
      <c r="CC31" s="105"/>
      <c r="CD31" s="105"/>
      <c r="CE31" s="105"/>
      <c r="CF31" s="105"/>
      <c r="CG31" s="105"/>
      <c r="CH31" s="105"/>
      <c r="CI31" s="105"/>
      <c r="CJ31" s="105"/>
      <c r="CK31" s="105"/>
      <c r="CL31" s="105"/>
      <c r="CM31" s="105"/>
      <c r="CN31" s="105"/>
      <c r="CO31" s="105"/>
      <c r="CP31" s="105"/>
      <c r="CQ31" s="105"/>
      <c r="CR31" s="105"/>
      <c r="CS31" s="105"/>
      <c r="CT31" s="105"/>
      <c r="CU31" s="105"/>
      <c r="CV31" s="105"/>
      <c r="CW31" s="105"/>
      <c r="CX31" s="105"/>
      <c r="CY31" s="105"/>
      <c r="CZ31" s="105"/>
      <c r="DA31" s="105"/>
      <c r="DB31" s="105"/>
      <c r="DC31" s="105"/>
      <c r="DD31" s="105"/>
      <c r="DE31" s="105"/>
      <c r="DF31" s="105"/>
      <c r="DG31" s="105"/>
      <c r="DH31" s="105"/>
      <c r="DI31" s="105"/>
      <c r="DJ31" s="105"/>
      <c r="DK31" s="105"/>
      <c r="DL31" s="105"/>
      <c r="DM31" s="105"/>
      <c r="DN31" s="105"/>
      <c r="DO31" s="105"/>
      <c r="DP31" s="105"/>
      <c r="DQ31" s="105"/>
      <c r="DR31" s="105"/>
      <c r="DS31" s="105"/>
      <c r="DT31" s="105"/>
      <c r="DU31" s="105"/>
      <c r="DV31" s="105"/>
      <c r="DW31" s="105"/>
      <c r="DX31" s="105"/>
      <c r="DY31" s="105"/>
      <c r="DZ31" s="105"/>
      <c r="EA31" s="105"/>
      <c r="EB31" s="105"/>
      <c r="EC31" s="105"/>
      <c r="ED31" s="105"/>
      <c r="EE31" s="105"/>
      <c r="EF31" s="105"/>
      <c r="EG31" s="105"/>
      <c r="EH31" s="105"/>
      <c r="EI31" s="105"/>
      <c r="EJ31" s="105"/>
      <c r="EK31" s="105"/>
      <c r="EL31" s="105"/>
      <c r="EM31" s="105"/>
      <c r="EN31" s="105"/>
      <c r="EO31" s="105"/>
      <c r="EP31" s="105"/>
      <c r="EQ31" s="105"/>
      <c r="ER31" s="105"/>
      <c r="ES31" s="105"/>
      <c r="ET31" s="105"/>
      <c r="EU31" s="105"/>
      <c r="EV31" s="105"/>
      <c r="EW31" s="105"/>
      <c r="EX31" s="105"/>
      <c r="EY31" s="105"/>
      <c r="EZ31" s="105"/>
      <c r="FA31" s="105"/>
      <c r="FB31" s="105"/>
      <c r="FC31" s="105"/>
      <c r="FD31" s="105"/>
      <c r="FE31" s="105"/>
      <c r="FF31" s="105"/>
      <c r="FG31" s="105"/>
      <c r="FH31" s="105"/>
      <c r="FI31" s="105"/>
      <c r="FJ31" s="105"/>
      <c r="FK31" s="105"/>
      <c r="FL31" s="105"/>
      <c r="FM31" s="105"/>
      <c r="FN31" s="105"/>
      <c r="FO31" s="105"/>
      <c r="FP31" s="105"/>
      <c r="FQ31" s="105"/>
      <c r="FR31" s="105"/>
      <c r="FS31" s="105"/>
      <c r="FT31" s="105"/>
      <c r="FU31" s="105"/>
      <c r="FV31" s="105"/>
      <c r="FW31" s="105"/>
      <c r="FX31" s="105"/>
      <c r="FY31" s="105"/>
      <c r="FZ31" s="105"/>
      <c r="GA31" s="105"/>
      <c r="GB31" s="105"/>
      <c r="GC31" s="105"/>
      <c r="GD31" s="105"/>
      <c r="GE31" s="105"/>
      <c r="GF31" s="105"/>
      <c r="GG31" s="105"/>
    </row>
    <row r="32" spans="1:189" ht="14" customHeight="1" thickBot="1">
      <c r="B32" s="62"/>
      <c r="C32" s="15"/>
      <c r="D32" s="15"/>
      <c r="E32" s="15"/>
      <c r="F32" s="15"/>
      <c r="G32" s="15"/>
      <c r="H32" s="15"/>
      <c r="I32" s="15"/>
      <c r="J32" s="15"/>
      <c r="K32" s="16" t="s">
        <v>0</v>
      </c>
      <c r="L32" s="15"/>
      <c r="M32" s="15"/>
      <c r="N32" s="15"/>
      <c r="O32" s="15"/>
      <c r="P32" s="15"/>
      <c r="Q32" s="15"/>
      <c r="R32" s="15"/>
      <c r="S32" s="15"/>
      <c r="T32" s="63"/>
      <c r="U32" s="47"/>
      <c r="V32" s="45"/>
      <c r="W32" s="45"/>
      <c r="X32" s="45"/>
      <c r="Y32" s="45"/>
      <c r="Z32" s="45"/>
      <c r="AA32" s="45"/>
      <c r="AB32" s="45"/>
      <c r="AC32" s="45"/>
      <c r="AD32" s="45"/>
      <c r="AE32" s="45"/>
      <c r="AF32" s="45"/>
      <c r="AG32" s="45"/>
      <c r="AH32" s="45"/>
      <c r="AI32" s="45"/>
      <c r="AJ32" s="45"/>
      <c r="AK32" s="45"/>
      <c r="AL32" s="45"/>
      <c r="AM32" s="45"/>
      <c r="AN32" s="45"/>
      <c r="AO32" s="45"/>
      <c r="AP32" s="45"/>
      <c r="AQ32" s="45"/>
      <c r="AR32" s="45"/>
      <c r="AS32" s="45"/>
      <c r="AT32" s="45"/>
      <c r="AU32" s="45"/>
      <c r="AV32" s="45"/>
      <c r="AW32" s="45"/>
      <c r="AX32" s="45"/>
      <c r="AY32" s="45"/>
      <c r="AZ32" s="45"/>
      <c r="BA32" s="45"/>
      <c r="BB32" s="45"/>
      <c r="BC32" s="45"/>
      <c r="BD32" s="45"/>
      <c r="BE32" s="45"/>
      <c r="BF32" s="45"/>
      <c r="BG32" s="45"/>
      <c r="BH32" s="45"/>
      <c r="BI32" s="45"/>
      <c r="BJ32" s="46"/>
      <c r="BK32" s="5"/>
      <c r="BL32" s="5"/>
      <c r="BM32" s="5"/>
      <c r="BN32" s="5"/>
      <c r="BO32" s="5"/>
      <c r="BP32" s="5"/>
      <c r="BQ32" s="5"/>
      <c r="BR32" s="5"/>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row>
    <row r="33" spans="1:189" ht="26" customHeight="1">
      <c r="B33" s="62"/>
      <c r="C33" s="195" t="s">
        <v>229</v>
      </c>
      <c r="D33" s="196"/>
      <c r="E33" s="196"/>
      <c r="F33" s="196"/>
      <c r="G33" s="196"/>
      <c r="H33" s="196"/>
      <c r="I33" s="196"/>
      <c r="J33" s="196"/>
      <c r="K33" s="196"/>
      <c r="L33" s="196"/>
      <c r="M33" s="196"/>
      <c r="N33" s="196"/>
      <c r="O33" s="196"/>
      <c r="P33" s="196"/>
      <c r="Q33" s="196"/>
      <c r="R33" s="196"/>
      <c r="S33" s="197"/>
      <c r="T33" s="63"/>
      <c r="U33" s="47"/>
      <c r="V33" s="48"/>
      <c r="W33" s="45"/>
      <c r="X33" s="45"/>
      <c r="Y33" s="45"/>
      <c r="Z33" s="45"/>
      <c r="AA33" s="45"/>
      <c r="AB33" s="45"/>
      <c r="AC33" s="45"/>
      <c r="AD33" s="45"/>
      <c r="AE33" s="45"/>
      <c r="AF33" s="45"/>
      <c r="AG33" s="45"/>
      <c r="AH33" s="45"/>
      <c r="AI33" s="45"/>
      <c r="AJ33" s="45"/>
      <c r="AK33" s="45"/>
      <c r="AL33" s="45"/>
      <c r="AM33" s="45"/>
      <c r="AN33" s="45"/>
      <c r="AO33" s="45"/>
      <c r="AP33" s="45"/>
      <c r="AQ33" s="45"/>
      <c r="AR33" s="45"/>
      <c r="AS33" s="45"/>
      <c r="AT33" s="45"/>
      <c r="AU33" s="45"/>
      <c r="AV33" s="45"/>
      <c r="AW33" s="45"/>
      <c r="AX33" s="45"/>
      <c r="AY33" s="45"/>
      <c r="AZ33" s="45"/>
      <c r="BA33" s="45"/>
      <c r="BB33" s="45"/>
      <c r="BC33" s="45"/>
      <c r="BD33" s="45"/>
      <c r="BE33" s="45"/>
      <c r="BF33" s="45"/>
      <c r="BG33" s="45"/>
      <c r="BH33" s="45"/>
      <c r="BI33" s="45"/>
      <c r="BJ33" s="46"/>
      <c r="BK33" s="5"/>
      <c r="BL33" s="5"/>
      <c r="BM33" s="5"/>
      <c r="BN33" s="5"/>
      <c r="BO33" s="5"/>
      <c r="BP33" s="5"/>
      <c r="BQ33" s="5"/>
      <c r="BR33" s="5"/>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row>
    <row r="34" spans="1:189" ht="14" customHeight="1">
      <c r="B34" s="62"/>
      <c r="C34" s="198"/>
      <c r="D34" s="199"/>
      <c r="E34" s="199"/>
      <c r="F34" s="199"/>
      <c r="G34" s="199"/>
      <c r="H34" s="199"/>
      <c r="I34" s="199"/>
      <c r="J34" s="199"/>
      <c r="K34" s="199"/>
      <c r="L34" s="199"/>
      <c r="M34" s="199"/>
      <c r="N34" s="199"/>
      <c r="O34" s="199"/>
      <c r="P34" s="199"/>
      <c r="Q34" s="199"/>
      <c r="R34" s="199"/>
      <c r="S34" s="200"/>
      <c r="T34" s="63"/>
      <c r="U34" s="47"/>
      <c r="V34" s="48"/>
      <c r="W34" s="45"/>
      <c r="X34" s="45"/>
      <c r="Y34" s="45"/>
      <c r="Z34" s="45"/>
      <c r="AA34" s="45"/>
      <c r="AB34" s="45"/>
      <c r="AC34" s="45"/>
      <c r="AD34" s="45"/>
      <c r="AE34" s="45"/>
      <c r="AF34" s="45"/>
      <c r="AG34" s="45"/>
      <c r="AH34" s="45"/>
      <c r="AI34" s="45"/>
      <c r="AJ34" s="45"/>
      <c r="AK34" s="45"/>
      <c r="AL34" s="45"/>
      <c r="AM34" s="45"/>
      <c r="AN34" s="45"/>
      <c r="AO34" s="45"/>
      <c r="AP34" s="45"/>
      <c r="AQ34" s="45"/>
      <c r="AR34" s="45"/>
      <c r="AS34" s="45"/>
      <c r="AT34" s="45"/>
      <c r="AU34" s="45"/>
      <c r="AV34" s="45"/>
      <c r="AW34" s="45"/>
      <c r="AX34" s="45"/>
      <c r="AY34" s="45"/>
      <c r="AZ34" s="45"/>
      <c r="BA34" s="45"/>
      <c r="BB34" s="45"/>
      <c r="BC34" s="45"/>
      <c r="BD34" s="45"/>
      <c r="BE34" s="45"/>
      <c r="BF34" s="45"/>
      <c r="BG34" s="45"/>
      <c r="BH34" s="45"/>
      <c r="BI34" s="45"/>
      <c r="BJ34" s="46"/>
      <c r="BK34" s="5"/>
      <c r="BL34" s="5"/>
      <c r="BM34" s="5"/>
      <c r="BN34" s="5"/>
      <c r="BO34" s="5"/>
      <c r="BP34" s="5"/>
      <c r="BQ34" s="5"/>
      <c r="BR34" s="5"/>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row>
    <row r="35" spans="1:189" ht="14" customHeight="1">
      <c r="B35" s="62"/>
      <c r="C35" s="198"/>
      <c r="D35" s="199"/>
      <c r="E35" s="199"/>
      <c r="F35" s="199"/>
      <c r="G35" s="199"/>
      <c r="H35" s="199"/>
      <c r="I35" s="199"/>
      <c r="J35" s="199"/>
      <c r="K35" s="199"/>
      <c r="L35" s="199"/>
      <c r="M35" s="199"/>
      <c r="N35" s="199"/>
      <c r="O35" s="199"/>
      <c r="P35" s="199"/>
      <c r="Q35" s="199"/>
      <c r="R35" s="199"/>
      <c r="S35" s="200"/>
      <c r="T35" s="63"/>
      <c r="U35" s="47"/>
      <c r="V35" s="48"/>
      <c r="W35" s="45"/>
      <c r="X35" s="45"/>
      <c r="Y35" s="45"/>
      <c r="Z35" s="45"/>
      <c r="AA35" s="45"/>
      <c r="AB35" s="45"/>
      <c r="AC35" s="45"/>
      <c r="AD35" s="45"/>
      <c r="AE35" s="45"/>
      <c r="AF35" s="45"/>
      <c r="AG35" s="45"/>
      <c r="AH35" s="45"/>
      <c r="AI35" s="45"/>
      <c r="AJ35" s="45"/>
      <c r="AK35" s="45"/>
      <c r="AL35" s="45"/>
      <c r="AM35" s="45"/>
      <c r="AN35" s="45"/>
      <c r="AO35" s="45"/>
      <c r="AP35" s="45"/>
      <c r="AQ35" s="45"/>
      <c r="AR35" s="45"/>
      <c r="AS35" s="45"/>
      <c r="AT35" s="45"/>
      <c r="AU35" s="45"/>
      <c r="AV35" s="45"/>
      <c r="AW35" s="45"/>
      <c r="AX35" s="45"/>
      <c r="AY35" s="45"/>
      <c r="AZ35" s="45"/>
      <c r="BA35" s="45"/>
      <c r="BB35" s="45"/>
      <c r="BC35" s="45"/>
      <c r="BD35" s="45"/>
      <c r="BE35" s="45"/>
      <c r="BF35" s="45"/>
      <c r="BG35" s="45"/>
      <c r="BH35" s="45"/>
      <c r="BI35" s="45"/>
      <c r="BJ35" s="46"/>
      <c r="BK35" s="5"/>
      <c r="BL35" s="5"/>
      <c r="BM35" s="5"/>
      <c r="BN35" s="5"/>
      <c r="BO35" s="5"/>
      <c r="BP35" s="5"/>
      <c r="BQ35" s="5"/>
      <c r="BR35" s="5"/>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row>
    <row r="36" spans="1:189" ht="20">
      <c r="B36" s="62"/>
      <c r="C36" s="74"/>
      <c r="D36" s="194" t="s">
        <v>131</v>
      </c>
      <c r="E36" s="194"/>
      <c r="F36" s="194"/>
      <c r="G36" s="194"/>
      <c r="H36" s="194"/>
      <c r="I36" s="194"/>
      <c r="J36" s="194"/>
      <c r="K36" s="194"/>
      <c r="L36" s="194"/>
      <c r="M36" s="194"/>
      <c r="N36" s="194"/>
      <c r="O36" s="194"/>
      <c r="P36" s="194"/>
      <c r="Q36" s="194"/>
      <c r="R36" s="194"/>
      <c r="S36" s="75"/>
      <c r="T36" s="63"/>
      <c r="U36" s="47"/>
      <c r="V36" s="48"/>
      <c r="W36" s="45"/>
      <c r="X36" s="45"/>
      <c r="Y36" s="45"/>
      <c r="Z36" s="45"/>
      <c r="AA36" s="45"/>
      <c r="AB36" s="45"/>
      <c r="AC36" s="45"/>
      <c r="AD36" s="45"/>
      <c r="AE36" s="45"/>
      <c r="AF36" s="45"/>
      <c r="AG36" s="45"/>
      <c r="AH36" s="45"/>
      <c r="AI36" s="45"/>
      <c r="AJ36" s="45"/>
      <c r="AK36" s="45"/>
      <c r="AL36" s="45"/>
      <c r="AM36" s="45"/>
      <c r="AN36" s="45"/>
      <c r="AO36" s="45"/>
      <c r="AP36" s="45"/>
      <c r="AQ36" s="45"/>
      <c r="AR36" s="45"/>
      <c r="AS36" s="45"/>
      <c r="AT36" s="45"/>
      <c r="AU36" s="45"/>
      <c r="AV36" s="45"/>
      <c r="AW36" s="45"/>
      <c r="AX36" s="45"/>
      <c r="AY36" s="45"/>
      <c r="AZ36" s="45"/>
      <c r="BA36" s="45"/>
      <c r="BB36" s="45"/>
      <c r="BC36" s="45"/>
      <c r="BD36" s="45"/>
      <c r="BE36" s="45"/>
      <c r="BF36" s="45"/>
      <c r="BG36" s="45"/>
      <c r="BH36" s="45"/>
      <c r="BI36" s="45"/>
      <c r="BJ36" s="46"/>
      <c r="BK36" s="5"/>
      <c r="BL36" s="5"/>
      <c r="BM36" s="5"/>
      <c r="BN36" s="5"/>
      <c r="BO36" s="5"/>
      <c r="BP36" s="5"/>
      <c r="BQ36" s="5"/>
      <c r="BR36" s="5"/>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row>
    <row r="37" spans="1:189" ht="14" customHeight="1" thickBot="1">
      <c r="B37" s="62"/>
      <c r="C37" s="76"/>
      <c r="D37" s="77"/>
      <c r="E37" s="77"/>
      <c r="F37" s="77"/>
      <c r="G37" s="77"/>
      <c r="H37" s="77"/>
      <c r="I37" s="77"/>
      <c r="J37" s="77"/>
      <c r="K37" s="77"/>
      <c r="L37" s="77"/>
      <c r="M37" s="77"/>
      <c r="N37" s="77"/>
      <c r="O37" s="77"/>
      <c r="P37" s="77"/>
      <c r="Q37" s="77"/>
      <c r="R37" s="77"/>
      <c r="S37" s="115"/>
      <c r="T37" s="63"/>
      <c r="U37" s="45"/>
      <c r="V37" s="45"/>
      <c r="W37" s="45"/>
      <c r="X37" s="45"/>
      <c r="Y37" s="45"/>
      <c r="Z37" s="45"/>
      <c r="AA37" s="45"/>
      <c r="AB37" s="45"/>
      <c r="AC37" s="45"/>
      <c r="AD37" s="45"/>
      <c r="AE37" s="45"/>
      <c r="AF37" s="45"/>
      <c r="AG37" s="45"/>
      <c r="AH37" s="45"/>
      <c r="AI37" s="45"/>
      <c r="AJ37" s="45"/>
      <c r="AK37" s="45"/>
      <c r="AL37" s="45"/>
      <c r="AM37" s="45"/>
      <c r="AN37" s="45"/>
      <c r="AO37" s="45"/>
      <c r="AP37" s="45"/>
      <c r="AQ37" s="45"/>
      <c r="AR37" s="45"/>
      <c r="AS37" s="45"/>
      <c r="AT37" s="45"/>
      <c r="AU37" s="45"/>
      <c r="AV37" s="45"/>
      <c r="AW37" s="45"/>
      <c r="AX37" s="45"/>
      <c r="AY37" s="45"/>
      <c r="AZ37" s="45"/>
      <c r="BA37" s="45"/>
      <c r="BB37" s="45"/>
      <c r="BC37" s="45"/>
      <c r="BD37" s="45"/>
      <c r="BE37" s="45"/>
      <c r="BF37" s="45"/>
      <c r="BG37" s="45"/>
      <c r="BH37" s="45"/>
      <c r="BI37" s="45"/>
      <c r="BJ37" s="46"/>
      <c r="BK37" s="5"/>
      <c r="BL37" s="5"/>
      <c r="BM37" s="5"/>
      <c r="BN37" s="5"/>
      <c r="BO37" s="5"/>
      <c r="BP37" s="5"/>
      <c r="BQ37" s="5"/>
      <c r="BR37" s="5"/>
    </row>
    <row r="38" spans="1:189" ht="19" thickBot="1">
      <c r="B38" s="62"/>
      <c r="C38" s="76"/>
      <c r="D38" s="135">
        <v>3</v>
      </c>
      <c r="E38" s="123" t="s">
        <v>112</v>
      </c>
      <c r="F38" s="123" t="s">
        <v>111</v>
      </c>
      <c r="G38" s="124"/>
      <c r="H38" s="124"/>
      <c r="I38" s="124"/>
      <c r="J38" s="124"/>
      <c r="K38" s="124"/>
      <c r="L38" s="124"/>
      <c r="M38" s="124"/>
      <c r="N38" s="125"/>
      <c r="O38" s="77"/>
      <c r="P38" s="77"/>
      <c r="Q38" s="77"/>
      <c r="R38" s="77"/>
      <c r="S38" s="115"/>
      <c r="T38" s="63"/>
      <c r="U38" s="45"/>
      <c r="V38" s="45"/>
      <c r="W38" s="45"/>
      <c r="X38" s="45"/>
      <c r="Y38" s="45"/>
      <c r="Z38" s="45"/>
      <c r="AA38" s="45"/>
      <c r="AB38" s="45"/>
      <c r="AC38" s="45"/>
      <c r="AD38" s="45"/>
      <c r="AE38" s="45"/>
      <c r="AF38" s="45"/>
      <c r="AG38" s="45"/>
      <c r="AH38" s="45"/>
      <c r="AI38" s="45"/>
      <c r="AJ38" s="45"/>
      <c r="AK38" s="45"/>
      <c r="AL38" s="45"/>
      <c r="AM38" s="45"/>
      <c r="AN38" s="45"/>
      <c r="AO38" s="45"/>
      <c r="AP38" s="45"/>
      <c r="AQ38" s="45"/>
      <c r="AR38" s="45"/>
      <c r="AS38" s="45"/>
      <c r="AT38" s="45"/>
      <c r="AU38" s="45"/>
      <c r="AV38" s="45"/>
      <c r="AW38" s="45"/>
      <c r="AX38" s="45"/>
      <c r="AY38" s="45"/>
      <c r="AZ38" s="45"/>
      <c r="BA38" s="45"/>
      <c r="BB38" s="45"/>
      <c r="BC38" s="45"/>
      <c r="BD38" s="45"/>
      <c r="BE38" s="45"/>
      <c r="BF38" s="45"/>
      <c r="BG38" s="45"/>
      <c r="BH38" s="45"/>
      <c r="BI38" s="45"/>
      <c r="BJ38" s="46"/>
      <c r="BK38" s="5"/>
      <c r="BL38" s="5"/>
      <c r="BM38" s="5"/>
      <c r="BN38" s="5"/>
      <c r="BO38" s="5"/>
      <c r="BP38" s="5"/>
      <c r="BQ38" s="5"/>
      <c r="BR38" s="5"/>
    </row>
    <row r="39" spans="1:189" ht="19" thickBot="1">
      <c r="B39" s="62"/>
      <c r="C39" s="76"/>
      <c r="D39" s="135">
        <v>70</v>
      </c>
      <c r="E39" s="126" t="s">
        <v>116</v>
      </c>
      <c r="F39" s="126" t="s">
        <v>115</v>
      </c>
      <c r="G39" s="126"/>
      <c r="H39" s="126"/>
      <c r="I39" s="126"/>
      <c r="J39" s="126"/>
      <c r="K39" s="126"/>
      <c r="L39" s="126"/>
      <c r="M39" s="126"/>
      <c r="N39" s="127"/>
      <c r="O39" s="116"/>
      <c r="P39" s="116"/>
      <c r="Q39" s="77"/>
      <c r="R39" s="77"/>
      <c r="S39" s="115"/>
      <c r="T39" s="63"/>
      <c r="U39" s="45"/>
      <c r="V39" s="45"/>
      <c r="W39" s="45"/>
      <c r="X39" s="45"/>
      <c r="Y39" s="45"/>
      <c r="Z39" s="45"/>
      <c r="AA39" s="45"/>
      <c r="AB39" s="45"/>
      <c r="AC39" s="45"/>
      <c r="AD39" s="45"/>
      <c r="AE39" s="45"/>
      <c r="AF39" s="45"/>
      <c r="AG39" s="45"/>
      <c r="AH39" s="45"/>
      <c r="AI39" s="45"/>
      <c r="AJ39" s="45"/>
      <c r="AK39" s="45"/>
      <c r="AL39" s="45"/>
      <c r="AM39" s="45"/>
      <c r="AN39" s="45"/>
      <c r="AO39" s="45"/>
      <c r="AP39" s="45"/>
      <c r="AQ39" s="45"/>
      <c r="AR39" s="45"/>
      <c r="AS39" s="45"/>
      <c r="AT39" s="45"/>
      <c r="AU39" s="45"/>
      <c r="AV39" s="45"/>
      <c r="AW39" s="45"/>
      <c r="AX39" s="45"/>
      <c r="AY39" s="45"/>
      <c r="AZ39" s="45"/>
      <c r="BA39" s="45"/>
      <c r="BB39" s="45"/>
      <c r="BC39" s="45"/>
      <c r="BD39" s="45"/>
      <c r="BE39" s="45"/>
      <c r="BF39" s="45"/>
      <c r="BG39" s="45"/>
      <c r="BH39" s="45"/>
      <c r="BI39" s="45"/>
      <c r="BJ39" s="46"/>
      <c r="BK39" s="5"/>
      <c r="BL39" s="5"/>
      <c r="BM39" s="5"/>
      <c r="BN39" s="5"/>
      <c r="BO39" s="5"/>
      <c r="BP39" s="5"/>
      <c r="BQ39" s="5"/>
      <c r="BR39" s="5"/>
    </row>
    <row r="40" spans="1:189" ht="14" customHeight="1">
      <c r="B40" s="62"/>
      <c r="C40" s="76"/>
      <c r="D40" s="116"/>
      <c r="E40" s="116"/>
      <c r="F40" s="116"/>
      <c r="G40" s="116"/>
      <c r="H40" s="116"/>
      <c r="I40" s="116"/>
      <c r="J40" s="116"/>
      <c r="K40" s="116"/>
      <c r="L40" s="116"/>
      <c r="M40" s="116"/>
      <c r="N40" s="116"/>
      <c r="O40" s="116"/>
      <c r="P40" s="116"/>
      <c r="Q40" s="77"/>
      <c r="R40" s="77"/>
      <c r="S40" s="115"/>
      <c r="T40" s="63"/>
      <c r="U40" s="45"/>
      <c r="V40" s="45"/>
      <c r="W40" s="45"/>
      <c r="X40" s="45"/>
      <c r="Y40" s="45"/>
      <c r="Z40" s="45"/>
      <c r="AA40" s="45"/>
      <c r="AB40" s="45"/>
      <c r="AC40" s="45"/>
      <c r="AD40" s="45"/>
      <c r="AE40" s="45"/>
      <c r="AF40" s="45"/>
      <c r="AG40" s="45"/>
      <c r="AH40" s="45"/>
      <c r="AI40" s="45"/>
      <c r="AJ40" s="45"/>
      <c r="AK40" s="45"/>
      <c r="AL40" s="45"/>
      <c r="AM40" s="45"/>
      <c r="AN40" s="45"/>
      <c r="AO40" s="45"/>
      <c r="AP40" s="45"/>
      <c r="AQ40" s="45"/>
      <c r="AR40" s="45"/>
      <c r="AS40" s="45"/>
      <c r="AT40" s="45"/>
      <c r="AU40" s="45"/>
      <c r="AV40" s="45"/>
      <c r="AW40" s="45"/>
      <c r="AX40" s="45"/>
      <c r="AY40" s="45"/>
      <c r="AZ40" s="45"/>
      <c r="BA40" s="45"/>
      <c r="BB40" s="45"/>
      <c r="BC40" s="45"/>
      <c r="BD40" s="45"/>
      <c r="BE40" s="45"/>
      <c r="BF40" s="45"/>
      <c r="BG40" s="45"/>
      <c r="BH40" s="45"/>
      <c r="BI40" s="45"/>
      <c r="BJ40" s="46"/>
      <c r="BK40" s="5"/>
      <c r="BL40" s="5"/>
      <c r="BM40" s="5"/>
      <c r="BN40" s="5"/>
      <c r="BO40" s="5"/>
      <c r="BP40" s="5"/>
      <c r="BQ40" s="5"/>
      <c r="BR40" s="5"/>
    </row>
    <row r="41" spans="1:189" ht="18">
      <c r="B41" s="62"/>
      <c r="C41" s="76"/>
      <c r="D41" s="130">
        <f>'Nozzle Flow Rates with Tables'!K23</f>
        <v>59.393939393939391</v>
      </c>
      <c r="E41" s="128" t="s">
        <v>109</v>
      </c>
      <c r="F41" s="128" t="s">
        <v>113</v>
      </c>
      <c r="G41" s="128"/>
      <c r="H41" s="128"/>
      <c r="I41" s="128"/>
      <c r="J41" s="128"/>
      <c r="K41" s="128"/>
      <c r="L41" s="128"/>
      <c r="M41" s="128"/>
      <c r="N41" s="128"/>
      <c r="O41" s="128"/>
      <c r="P41" s="116"/>
      <c r="Q41" s="77"/>
      <c r="R41" s="77"/>
      <c r="S41" s="115"/>
      <c r="T41" s="63"/>
      <c r="U41" s="45"/>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5"/>
      <c r="AY41" s="45"/>
      <c r="AZ41" s="45"/>
      <c r="BA41" s="45"/>
      <c r="BB41" s="45"/>
      <c r="BC41" s="45"/>
      <c r="BD41" s="45"/>
      <c r="BE41" s="45"/>
      <c r="BF41" s="45"/>
      <c r="BG41" s="45"/>
      <c r="BH41" s="45"/>
      <c r="BI41" s="45"/>
      <c r="BJ41" s="46"/>
      <c r="BK41" s="5"/>
      <c r="BL41" s="5"/>
      <c r="BM41" s="5"/>
      <c r="BN41" s="5"/>
      <c r="BO41" s="5"/>
      <c r="BP41" s="5"/>
      <c r="BQ41" s="5"/>
      <c r="BR41" s="5"/>
    </row>
    <row r="42" spans="1:189" ht="14" customHeight="1">
      <c r="B42" s="62"/>
      <c r="C42" s="76"/>
      <c r="D42" s="131"/>
      <c r="E42" s="128"/>
      <c r="F42" s="128"/>
      <c r="G42" s="128"/>
      <c r="H42" s="128"/>
      <c r="I42" s="128"/>
      <c r="J42" s="128"/>
      <c r="K42" s="128"/>
      <c r="L42" s="128"/>
      <c r="M42" s="128"/>
      <c r="N42" s="128"/>
      <c r="O42" s="128"/>
      <c r="P42" s="116"/>
      <c r="Q42" s="77"/>
      <c r="R42" s="77"/>
      <c r="S42" s="115"/>
      <c r="T42" s="63"/>
      <c r="U42" s="45"/>
      <c r="V42" s="45"/>
      <c r="W42" s="45"/>
      <c r="X42" s="45"/>
      <c r="Y42" s="45"/>
      <c r="Z42" s="45"/>
      <c r="AA42" s="45"/>
      <c r="AB42" s="45"/>
      <c r="AC42" s="45"/>
      <c r="AD42" s="45"/>
      <c r="AE42" s="45"/>
      <c r="AF42" s="45"/>
      <c r="AG42" s="45"/>
      <c r="AH42" s="45"/>
      <c r="AI42" s="45"/>
      <c r="AJ42" s="45"/>
      <c r="AK42" s="45"/>
      <c r="AL42" s="45"/>
      <c r="AM42" s="45"/>
      <c r="AN42" s="45"/>
      <c r="AO42" s="45"/>
      <c r="AP42" s="45"/>
      <c r="AQ42" s="45"/>
      <c r="AR42" s="45"/>
      <c r="AS42" s="45"/>
      <c r="AT42" s="45"/>
      <c r="AU42" s="45"/>
      <c r="AV42" s="45"/>
      <c r="AW42" s="45"/>
      <c r="AX42" s="45"/>
      <c r="AY42" s="45"/>
      <c r="AZ42" s="45"/>
      <c r="BA42" s="45"/>
      <c r="BB42" s="45"/>
      <c r="BC42" s="45"/>
      <c r="BD42" s="45"/>
      <c r="BE42" s="45"/>
      <c r="BF42" s="45"/>
      <c r="BG42" s="45"/>
      <c r="BH42" s="45"/>
      <c r="BI42" s="45"/>
      <c r="BJ42" s="46"/>
      <c r="BK42" s="5"/>
      <c r="BL42" s="5"/>
      <c r="BM42" s="5"/>
      <c r="BN42" s="5"/>
      <c r="BO42" s="5"/>
      <c r="BP42" s="5"/>
      <c r="BQ42" s="5"/>
      <c r="BR42" s="5"/>
    </row>
    <row r="43" spans="1:189" ht="14" customHeight="1">
      <c r="B43" s="62"/>
      <c r="C43" s="76"/>
      <c r="D43" s="132">
        <f>'Nozzle Flow Rates with Tables'!K20</f>
        <v>0.34944329500096105</v>
      </c>
      <c r="E43" s="128" t="s">
        <v>109</v>
      </c>
      <c r="F43" s="128" t="s">
        <v>110</v>
      </c>
      <c r="G43" s="129"/>
      <c r="H43" s="129"/>
      <c r="I43" s="129"/>
      <c r="J43" s="129"/>
      <c r="K43" s="129"/>
      <c r="L43" s="129"/>
      <c r="M43" s="129"/>
      <c r="N43" s="129"/>
      <c r="O43" s="129"/>
      <c r="P43" s="77"/>
      <c r="Q43" s="77"/>
      <c r="R43" s="77"/>
      <c r="S43" s="115"/>
      <c r="T43" s="63"/>
      <c r="U43" s="45"/>
      <c r="V43" s="45"/>
      <c r="W43" s="45"/>
      <c r="X43" s="45"/>
      <c r="Y43" s="45"/>
      <c r="Z43" s="45"/>
      <c r="AA43" s="45"/>
      <c r="AB43" s="45"/>
      <c r="AC43" s="45"/>
      <c r="AD43" s="45"/>
      <c r="AE43" s="45"/>
      <c r="AF43" s="45"/>
      <c r="AG43" s="45"/>
      <c r="AH43" s="45"/>
      <c r="AI43" s="45"/>
      <c r="AJ43" s="45"/>
      <c r="AK43" s="45"/>
      <c r="AL43" s="45"/>
      <c r="AM43" s="45"/>
      <c r="AN43" s="45"/>
      <c r="AO43" s="45"/>
      <c r="AP43" s="45"/>
      <c r="AQ43" s="45"/>
      <c r="AR43" s="45"/>
      <c r="AS43" s="45"/>
      <c r="AT43" s="45"/>
      <c r="AU43" s="45"/>
      <c r="AV43" s="45"/>
      <c r="AW43" s="45"/>
      <c r="AX43" s="45"/>
      <c r="AY43" s="45"/>
      <c r="AZ43" s="45"/>
      <c r="BA43" s="45"/>
      <c r="BB43" s="45"/>
      <c r="BC43" s="45"/>
      <c r="BD43" s="45"/>
      <c r="BE43" s="45"/>
      <c r="BF43" s="45"/>
      <c r="BG43" s="45"/>
      <c r="BH43" s="45"/>
      <c r="BI43" s="45"/>
      <c r="BJ43" s="46"/>
      <c r="BK43" s="5"/>
      <c r="BL43" s="5"/>
      <c r="BM43" s="5"/>
      <c r="BN43" s="5"/>
      <c r="BO43" s="5"/>
      <c r="BP43" s="5"/>
      <c r="BQ43" s="5"/>
      <c r="BR43" s="5"/>
    </row>
    <row r="44" spans="1:189" ht="14" customHeight="1">
      <c r="B44" s="62"/>
      <c r="C44" s="76"/>
      <c r="D44" s="133"/>
      <c r="E44" s="129"/>
      <c r="F44" s="129"/>
      <c r="G44" s="129"/>
      <c r="H44" s="129"/>
      <c r="I44" s="129"/>
      <c r="J44" s="129"/>
      <c r="K44" s="129"/>
      <c r="L44" s="129"/>
      <c r="M44" s="129"/>
      <c r="N44" s="129"/>
      <c r="O44" s="129"/>
      <c r="P44" s="77"/>
      <c r="Q44" s="77"/>
      <c r="R44" s="77"/>
      <c r="S44" s="115"/>
      <c r="T44" s="63"/>
      <c r="U44" s="45"/>
      <c r="V44" s="45"/>
      <c r="W44" s="45"/>
      <c r="X44" s="45"/>
      <c r="Y44" s="45"/>
      <c r="Z44" s="45"/>
      <c r="AA44" s="45"/>
      <c r="AB44" s="45"/>
      <c r="AC44" s="45"/>
      <c r="AD44" s="45"/>
      <c r="AE44" s="45"/>
      <c r="AF44" s="45"/>
      <c r="AG44" s="45"/>
      <c r="AH44" s="45"/>
      <c r="AI44" s="45"/>
      <c r="AJ44" s="45"/>
      <c r="AK44" s="45"/>
      <c r="AL44" s="45"/>
      <c r="AM44" s="45"/>
      <c r="AN44" s="45"/>
      <c r="AO44" s="45"/>
      <c r="AP44" s="45"/>
      <c r="AQ44" s="45"/>
      <c r="AR44" s="45"/>
      <c r="AS44" s="45"/>
      <c r="AT44" s="45"/>
      <c r="AU44" s="45"/>
      <c r="AV44" s="45"/>
      <c r="AW44" s="45"/>
      <c r="AX44" s="45"/>
      <c r="AY44" s="45"/>
      <c r="AZ44" s="45"/>
      <c r="BA44" s="45"/>
      <c r="BB44" s="45"/>
      <c r="BC44" s="45"/>
      <c r="BD44" s="45"/>
      <c r="BE44" s="45"/>
      <c r="BF44" s="45"/>
      <c r="BG44" s="45"/>
      <c r="BH44" s="45"/>
      <c r="BI44" s="45"/>
      <c r="BJ44" s="46"/>
      <c r="BK44" s="5"/>
      <c r="BL44" s="5"/>
      <c r="BM44" s="5"/>
      <c r="BN44" s="5"/>
      <c r="BO44" s="5"/>
      <c r="BP44" s="5"/>
      <c r="BQ44" s="5"/>
      <c r="BR44" s="5"/>
    </row>
    <row r="45" spans="1:189" ht="14" customHeight="1">
      <c r="B45" s="62"/>
      <c r="C45" s="76"/>
      <c r="D45" s="134">
        <f>D41/D43</f>
        <v>169.96731728326921</v>
      </c>
      <c r="E45" s="128" t="s">
        <v>120</v>
      </c>
      <c r="F45" s="128" t="s">
        <v>121</v>
      </c>
      <c r="G45" s="128"/>
      <c r="H45" s="128"/>
      <c r="I45" s="128"/>
      <c r="J45" s="128"/>
      <c r="K45" s="128"/>
      <c r="L45" s="129"/>
      <c r="M45" s="129"/>
      <c r="N45" s="129"/>
      <c r="O45" s="129"/>
      <c r="P45" s="77"/>
      <c r="Q45" s="77"/>
      <c r="R45" s="77"/>
      <c r="S45" s="115"/>
      <c r="T45" s="63"/>
      <c r="U45" s="45"/>
      <c r="V45" s="45"/>
      <c r="W45" s="45"/>
      <c r="X45" s="45"/>
      <c r="Y45" s="45"/>
      <c r="Z45" s="45"/>
      <c r="AA45" s="45"/>
      <c r="AB45" s="45"/>
      <c r="AC45" s="45"/>
      <c r="AD45" s="45"/>
      <c r="AE45" s="45"/>
      <c r="AF45" s="45"/>
      <c r="AG45" s="45"/>
      <c r="AH45" s="45"/>
      <c r="AI45" s="45"/>
      <c r="AJ45" s="45"/>
      <c r="AK45" s="45"/>
      <c r="AL45" s="45"/>
      <c r="AM45" s="45"/>
      <c r="AN45" s="45"/>
      <c r="AO45" s="45"/>
      <c r="AP45" s="45"/>
      <c r="AQ45" s="45"/>
      <c r="AR45" s="45"/>
      <c r="AS45" s="45"/>
      <c r="AT45" s="45"/>
      <c r="AU45" s="45"/>
      <c r="AV45" s="45"/>
      <c r="AW45" s="45"/>
      <c r="AX45" s="45"/>
      <c r="AY45" s="45"/>
      <c r="AZ45" s="45"/>
      <c r="BA45" s="45"/>
      <c r="BB45" s="45"/>
      <c r="BC45" s="45"/>
      <c r="BD45" s="45"/>
      <c r="BE45" s="45"/>
      <c r="BF45" s="45"/>
      <c r="BG45" s="45"/>
      <c r="BH45" s="45"/>
      <c r="BI45" s="45"/>
      <c r="BJ45" s="46"/>
      <c r="BK45" s="5"/>
      <c r="BL45" s="5"/>
      <c r="BM45" s="5"/>
      <c r="BN45" s="5"/>
      <c r="BO45" s="5"/>
      <c r="BP45" s="5"/>
      <c r="BQ45" s="5"/>
      <c r="BR45" s="5"/>
    </row>
    <row r="46" spans="1:189" ht="14" customHeight="1" thickBot="1">
      <c r="A46" s="5"/>
      <c r="B46" s="65"/>
      <c r="C46" s="118"/>
      <c r="D46" s="119"/>
      <c r="E46" s="120"/>
      <c r="F46" s="120"/>
      <c r="G46" s="120"/>
      <c r="H46" s="120"/>
      <c r="I46" s="120"/>
      <c r="J46" s="120"/>
      <c r="K46" s="121"/>
      <c r="L46" s="120"/>
      <c r="M46" s="120"/>
      <c r="N46" s="120"/>
      <c r="O46" s="120"/>
      <c r="P46" s="120"/>
      <c r="Q46" s="120"/>
      <c r="R46" s="120"/>
      <c r="S46" s="122"/>
      <c r="T46" s="66"/>
      <c r="U46" s="45"/>
      <c r="V46" s="45"/>
      <c r="W46" s="45"/>
      <c r="X46" s="45"/>
      <c r="Y46" s="45"/>
      <c r="Z46" s="45"/>
      <c r="AA46" s="45"/>
      <c r="AB46" s="45"/>
      <c r="AC46" s="45"/>
      <c r="AD46" s="45"/>
      <c r="AE46" s="45"/>
      <c r="AF46" s="45"/>
      <c r="AG46" s="45"/>
      <c r="AH46" s="45"/>
      <c r="AI46" s="45"/>
      <c r="AJ46" s="45"/>
      <c r="AK46" s="45"/>
      <c r="AL46" s="45"/>
      <c r="AM46" s="45"/>
      <c r="AN46" s="45"/>
      <c r="AO46" s="45"/>
      <c r="AP46" s="45"/>
      <c r="AQ46" s="45"/>
      <c r="AR46" s="45"/>
      <c r="AS46" s="45"/>
      <c r="AT46" s="45"/>
      <c r="AU46" s="45"/>
      <c r="AV46" s="45"/>
      <c r="AW46" s="45"/>
      <c r="AX46" s="45"/>
      <c r="AY46" s="45"/>
      <c r="AZ46" s="45"/>
      <c r="BA46" s="45"/>
      <c r="BB46" s="45"/>
      <c r="BC46" s="45"/>
      <c r="BD46" s="45"/>
      <c r="BE46" s="45"/>
      <c r="BF46" s="45"/>
      <c r="BG46" s="45"/>
      <c r="BH46" s="45"/>
      <c r="BI46" s="45"/>
      <c r="BJ46" s="46"/>
      <c r="BK46" s="5"/>
      <c r="BL46" s="5"/>
      <c r="BM46" s="5"/>
      <c r="BN46" s="5"/>
      <c r="BO46" s="5"/>
      <c r="BP46" s="5"/>
      <c r="BQ46" s="5"/>
      <c r="BR46" s="5"/>
    </row>
    <row r="47" spans="1:189" ht="14" customHeight="1" thickBot="1">
      <c r="A47" s="5"/>
      <c r="B47" s="67"/>
      <c r="C47" s="68"/>
      <c r="D47" s="68"/>
      <c r="E47" s="68"/>
      <c r="F47" s="68"/>
      <c r="G47" s="68"/>
      <c r="H47" s="68"/>
      <c r="I47" s="68"/>
      <c r="J47" s="68"/>
      <c r="K47" s="69"/>
      <c r="L47" s="68"/>
      <c r="M47" s="68"/>
      <c r="N47" s="68"/>
      <c r="O47" s="68"/>
      <c r="P47" s="68"/>
      <c r="Q47" s="68"/>
      <c r="R47" s="68"/>
      <c r="S47" s="68"/>
      <c r="T47" s="70"/>
      <c r="U47" s="45"/>
      <c r="V47" s="45"/>
      <c r="W47" s="45"/>
      <c r="X47" s="45"/>
      <c r="Y47" s="45"/>
      <c r="Z47" s="45"/>
      <c r="AA47" s="45"/>
      <c r="AB47" s="45"/>
      <c r="AC47" s="45"/>
      <c r="AD47" s="45"/>
      <c r="AE47" s="45"/>
      <c r="AF47" s="45"/>
      <c r="AG47" s="45"/>
      <c r="AH47" s="45"/>
      <c r="AI47" s="45"/>
      <c r="AJ47" s="45"/>
      <c r="AK47" s="45"/>
      <c r="AL47" s="45"/>
      <c r="AM47" s="45"/>
      <c r="AN47" s="45"/>
      <c r="AO47" s="45"/>
      <c r="AP47" s="45"/>
      <c r="AQ47" s="45"/>
      <c r="AR47" s="45"/>
      <c r="AS47" s="45"/>
      <c r="AT47" s="45"/>
      <c r="AU47" s="45"/>
      <c r="AV47" s="45"/>
      <c r="AW47" s="45"/>
      <c r="AX47" s="45"/>
      <c r="AY47" s="45"/>
      <c r="AZ47" s="45"/>
      <c r="BA47" s="45"/>
      <c r="BB47" s="45"/>
      <c r="BC47" s="45"/>
      <c r="BD47" s="45"/>
      <c r="BE47" s="45"/>
      <c r="BF47" s="45"/>
      <c r="BG47" s="45"/>
      <c r="BH47" s="45"/>
      <c r="BI47" s="45"/>
      <c r="BJ47" s="46"/>
      <c r="BK47" s="5"/>
      <c r="BL47" s="5"/>
      <c r="BM47" s="5"/>
      <c r="BN47" s="5"/>
      <c r="BO47" s="5"/>
      <c r="BP47" s="5"/>
      <c r="BQ47" s="5"/>
      <c r="BR47" s="5"/>
    </row>
    <row r="48" spans="1:189" ht="12" customHeight="1">
      <c r="C48" s="19"/>
      <c r="D48" s="19"/>
      <c r="E48" s="19"/>
      <c r="F48" s="19"/>
      <c r="G48" s="19"/>
      <c r="H48" s="19"/>
      <c r="I48" s="19"/>
      <c r="J48" s="19"/>
      <c r="K48" s="19"/>
      <c r="L48" s="19"/>
      <c r="M48" s="19"/>
      <c r="N48" s="19"/>
      <c r="O48" s="19"/>
      <c r="P48" s="19"/>
      <c r="Q48" s="19"/>
      <c r="R48" s="19"/>
      <c r="S48" s="19"/>
      <c r="T48" s="19"/>
      <c r="U48" s="45"/>
      <c r="V48" s="45"/>
      <c r="W48" s="45"/>
      <c r="X48" s="45"/>
      <c r="Y48" s="45"/>
      <c r="Z48" s="45"/>
      <c r="AA48" s="45"/>
      <c r="AB48" s="45"/>
      <c r="AC48" s="45"/>
      <c r="AD48" s="45"/>
      <c r="AE48" s="45"/>
      <c r="AF48" s="45"/>
      <c r="AG48" s="45"/>
      <c r="AH48" s="45"/>
      <c r="AI48" s="45"/>
      <c r="AJ48" s="45"/>
      <c r="AK48" s="45"/>
      <c r="AL48" s="45"/>
      <c r="AM48" s="45"/>
      <c r="AN48" s="45"/>
      <c r="AO48" s="45"/>
      <c r="AP48" s="45"/>
      <c r="AQ48" s="45"/>
      <c r="AR48" s="45"/>
      <c r="AS48" s="45"/>
      <c r="AT48" s="45"/>
      <c r="AU48" s="45"/>
      <c r="AV48" s="45"/>
      <c r="AW48" s="45"/>
      <c r="AX48" s="45"/>
      <c r="AY48" s="45"/>
      <c r="AZ48" s="45"/>
      <c r="BA48" s="45"/>
      <c r="BB48" s="45"/>
      <c r="BC48" s="45"/>
      <c r="BD48" s="45"/>
      <c r="BE48" s="45"/>
      <c r="BF48" s="45"/>
      <c r="BG48" s="45"/>
      <c r="BH48" s="45"/>
      <c r="BI48" s="45"/>
      <c r="BJ48" s="46"/>
      <c r="BK48" s="5"/>
      <c r="BL48" s="5"/>
      <c r="BM48" s="5"/>
      <c r="BN48" s="5"/>
      <c r="BO48" s="5"/>
      <c r="BP48" s="5"/>
      <c r="BQ48" s="5"/>
      <c r="BR48" s="5"/>
    </row>
    <row r="49" spans="3:70" ht="12" customHeight="1">
      <c r="C49" s="19"/>
      <c r="D49" s="19"/>
      <c r="E49" s="19"/>
      <c r="F49" s="19"/>
      <c r="G49" s="19"/>
      <c r="H49" s="19"/>
      <c r="I49" s="19"/>
      <c r="J49" s="19"/>
      <c r="K49" s="19"/>
      <c r="L49" s="19"/>
      <c r="M49" s="19"/>
      <c r="N49" s="19"/>
      <c r="O49" s="19"/>
      <c r="P49" s="19"/>
      <c r="Q49" s="19"/>
      <c r="R49" s="19"/>
      <c r="S49" s="19"/>
      <c r="T49" s="19"/>
      <c r="U49" s="45"/>
      <c r="V49" s="45"/>
      <c r="W49" s="45"/>
      <c r="X49" s="45"/>
      <c r="Y49" s="45"/>
      <c r="Z49" s="45"/>
      <c r="AA49" s="45"/>
      <c r="AB49" s="45"/>
      <c r="AC49" s="45"/>
      <c r="AD49" s="45"/>
      <c r="AE49" s="45"/>
      <c r="AF49" s="45"/>
      <c r="AG49" s="45"/>
      <c r="AH49" s="45"/>
      <c r="AI49" s="45"/>
      <c r="AJ49" s="45"/>
      <c r="AK49" s="45"/>
      <c r="AL49" s="45"/>
      <c r="AM49" s="45"/>
      <c r="AN49" s="45"/>
      <c r="AO49" s="45"/>
      <c r="AP49" s="45"/>
      <c r="AQ49" s="45"/>
      <c r="AR49" s="45"/>
      <c r="AS49" s="45"/>
      <c r="AT49" s="45"/>
      <c r="AU49" s="45"/>
      <c r="AV49" s="45"/>
      <c r="AW49" s="45"/>
      <c r="AX49" s="45"/>
      <c r="AY49" s="45"/>
      <c r="AZ49" s="45"/>
      <c r="BA49" s="45"/>
      <c r="BB49" s="45"/>
      <c r="BC49" s="45"/>
      <c r="BD49" s="45"/>
      <c r="BE49" s="45"/>
      <c r="BF49" s="45"/>
      <c r="BG49" s="45"/>
      <c r="BH49" s="45"/>
      <c r="BI49" s="45"/>
      <c r="BJ49" s="46"/>
      <c r="BK49" s="5"/>
      <c r="BL49" s="5"/>
      <c r="BM49" s="5"/>
      <c r="BN49" s="5"/>
      <c r="BO49" s="5"/>
      <c r="BP49" s="5"/>
      <c r="BQ49" s="5"/>
      <c r="BR49" s="5"/>
    </row>
    <row r="50" spans="3:70" ht="12.75" customHeight="1">
      <c r="C50" s="19"/>
      <c r="D50" s="19"/>
      <c r="E50" s="19"/>
      <c r="F50" s="19"/>
      <c r="G50" s="19"/>
      <c r="H50" s="19"/>
      <c r="I50" s="19"/>
      <c r="J50" s="19"/>
      <c r="K50" s="19"/>
      <c r="L50" s="19"/>
      <c r="M50" s="19"/>
      <c r="N50" s="19"/>
      <c r="O50" s="19"/>
      <c r="P50" s="19"/>
      <c r="Q50" s="19"/>
      <c r="R50" s="19"/>
      <c r="S50" s="19"/>
      <c r="T50" s="19"/>
      <c r="U50" s="45"/>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5"/>
      <c r="AY50" s="45"/>
      <c r="AZ50" s="45"/>
      <c r="BA50" s="45"/>
      <c r="BB50" s="45"/>
      <c r="BC50" s="45"/>
      <c r="BD50" s="45"/>
      <c r="BE50" s="45"/>
      <c r="BF50" s="45"/>
      <c r="BG50" s="45"/>
      <c r="BH50" s="45"/>
      <c r="BI50" s="45"/>
      <c r="BJ50" s="46"/>
      <c r="BK50" s="5"/>
      <c r="BL50" s="5"/>
      <c r="BM50" s="5"/>
      <c r="BN50" s="5"/>
      <c r="BO50" s="5"/>
      <c r="BP50" s="5"/>
      <c r="BQ50" s="5"/>
      <c r="BR50" s="5"/>
    </row>
    <row r="51" spans="3:70" ht="12.75" customHeight="1">
      <c r="C51" s="19"/>
      <c r="D51" s="19"/>
      <c r="E51" s="19"/>
      <c r="F51" s="19"/>
      <c r="G51" s="19"/>
      <c r="H51" s="19"/>
      <c r="I51" s="19"/>
      <c r="J51" s="19"/>
      <c r="K51" s="19"/>
      <c r="L51" s="19"/>
      <c r="M51" s="19"/>
      <c r="N51" s="19"/>
      <c r="O51" s="19"/>
      <c r="P51" s="19"/>
      <c r="Q51" s="19"/>
      <c r="R51" s="19"/>
      <c r="S51" s="19"/>
      <c r="T51" s="19"/>
      <c r="U51" s="45"/>
      <c r="V51" s="45"/>
      <c r="W51" s="45"/>
      <c r="X51" s="45"/>
      <c r="Y51" s="45"/>
      <c r="Z51" s="45"/>
      <c r="AA51" s="45"/>
      <c r="AB51" s="45"/>
      <c r="AC51" s="45"/>
      <c r="AD51" s="45"/>
      <c r="AE51" s="45"/>
      <c r="AF51" s="45"/>
      <c r="AG51" s="45"/>
      <c r="AH51" s="45"/>
      <c r="AI51" s="45"/>
      <c r="AJ51" s="45"/>
      <c r="AK51" s="45"/>
      <c r="AL51" s="45"/>
      <c r="AM51" s="45"/>
      <c r="AN51" s="45"/>
      <c r="AO51" s="45"/>
      <c r="AP51" s="45"/>
      <c r="AQ51" s="45"/>
      <c r="AR51" s="45"/>
      <c r="AS51" s="45"/>
      <c r="AT51" s="45"/>
      <c r="AU51" s="45"/>
      <c r="AV51" s="45"/>
      <c r="AW51" s="45"/>
      <c r="AX51" s="45"/>
      <c r="AY51" s="45"/>
      <c r="AZ51" s="45"/>
      <c r="BA51" s="45"/>
      <c r="BB51" s="45"/>
      <c r="BC51" s="45"/>
      <c r="BD51" s="45"/>
      <c r="BE51" s="45"/>
      <c r="BF51" s="45"/>
      <c r="BG51" s="45"/>
      <c r="BH51" s="45"/>
      <c r="BI51" s="45"/>
      <c r="BJ51" s="19"/>
    </row>
    <row r="52" spans="3:70" ht="12.75" customHeight="1">
      <c r="C52" s="19"/>
      <c r="D52" s="19"/>
      <c r="E52" s="19"/>
      <c r="F52" s="19"/>
      <c r="G52" s="19"/>
      <c r="H52" s="19"/>
      <c r="I52" s="19"/>
      <c r="J52" s="19"/>
      <c r="K52" s="19"/>
      <c r="L52" s="19"/>
      <c r="M52" s="19"/>
      <c r="N52" s="19"/>
      <c r="O52" s="19"/>
      <c r="P52" s="19"/>
      <c r="Q52" s="19"/>
      <c r="R52" s="19"/>
      <c r="S52" s="19"/>
      <c r="T52" s="19"/>
      <c r="U52" s="45"/>
      <c r="V52" s="45"/>
      <c r="W52" s="45"/>
      <c r="X52" s="45"/>
      <c r="Y52" s="45"/>
      <c r="Z52" s="45"/>
      <c r="AA52" s="45"/>
      <c r="AB52" s="45"/>
      <c r="AC52" s="45"/>
      <c r="AD52" s="45"/>
      <c r="AE52" s="45"/>
      <c r="AF52" s="45"/>
      <c r="AG52" s="45"/>
      <c r="AH52" s="45"/>
      <c r="AI52" s="45"/>
      <c r="AJ52" s="45"/>
      <c r="AK52" s="45"/>
      <c r="AL52" s="45"/>
      <c r="AM52" s="45"/>
      <c r="AN52" s="45"/>
      <c r="AO52" s="45"/>
      <c r="AP52" s="45"/>
      <c r="AQ52" s="45"/>
      <c r="AR52" s="45"/>
      <c r="AS52" s="45"/>
      <c r="AT52" s="45"/>
      <c r="AU52" s="45"/>
      <c r="AV52" s="45"/>
      <c r="AW52" s="45"/>
      <c r="AX52" s="45"/>
      <c r="AY52" s="45"/>
      <c r="AZ52" s="45"/>
      <c r="BA52" s="45"/>
      <c r="BB52" s="45"/>
      <c r="BC52" s="45"/>
      <c r="BD52" s="45"/>
      <c r="BE52" s="45"/>
      <c r="BF52" s="45"/>
      <c r="BG52" s="45"/>
      <c r="BH52" s="45"/>
      <c r="BI52" s="45"/>
      <c r="BJ52" s="19"/>
    </row>
    <row r="53" spans="3:70" ht="12.75" customHeight="1">
      <c r="C53" s="19"/>
      <c r="D53" s="19"/>
      <c r="E53" s="19"/>
      <c r="F53" s="19"/>
      <c r="G53" s="19"/>
      <c r="H53" s="19"/>
      <c r="I53" s="19"/>
      <c r="J53" s="19"/>
      <c r="K53" s="19"/>
      <c r="L53" s="19"/>
      <c r="M53" s="19"/>
      <c r="N53" s="19"/>
      <c r="O53" s="19"/>
      <c r="P53" s="19"/>
      <c r="Q53" s="19"/>
      <c r="R53" s="19"/>
      <c r="S53" s="19"/>
      <c r="T53" s="19"/>
      <c r="U53" s="45"/>
      <c r="V53" s="45"/>
      <c r="W53" s="45"/>
      <c r="X53" s="45"/>
      <c r="Y53" s="45"/>
      <c r="Z53" s="45"/>
      <c r="AA53" s="45"/>
      <c r="AB53" s="45"/>
      <c r="AC53" s="45"/>
      <c r="AD53" s="45"/>
      <c r="AE53" s="45"/>
      <c r="AF53" s="45"/>
      <c r="AG53" s="45"/>
      <c r="AH53" s="45"/>
      <c r="AI53" s="45"/>
      <c r="AJ53" s="45"/>
      <c r="AK53" s="45"/>
      <c r="AL53" s="45"/>
      <c r="AM53" s="45"/>
      <c r="AN53" s="45"/>
      <c r="AO53" s="45"/>
      <c r="AP53" s="45"/>
      <c r="AQ53" s="45"/>
      <c r="AR53" s="45"/>
      <c r="AS53" s="45"/>
      <c r="AT53" s="45"/>
      <c r="AU53" s="45"/>
      <c r="AV53" s="45"/>
      <c r="AW53" s="45"/>
      <c r="AX53" s="45"/>
      <c r="AY53" s="45"/>
      <c r="AZ53" s="45"/>
      <c r="BA53" s="45"/>
      <c r="BB53" s="45"/>
      <c r="BC53" s="45"/>
      <c r="BD53" s="45"/>
      <c r="BE53" s="45"/>
      <c r="BF53" s="45"/>
      <c r="BG53" s="45"/>
      <c r="BH53" s="45"/>
      <c r="BI53" s="45"/>
      <c r="BJ53" s="19"/>
    </row>
    <row r="54" spans="3:70" ht="12.75" customHeight="1">
      <c r="C54" s="19"/>
      <c r="D54" s="19"/>
      <c r="E54" s="19"/>
      <c r="F54" s="19"/>
      <c r="G54" s="19"/>
      <c r="H54" s="19"/>
      <c r="I54" s="19"/>
      <c r="J54" s="19"/>
      <c r="K54" s="19"/>
      <c r="L54" s="19"/>
      <c r="M54" s="19"/>
      <c r="N54" s="19"/>
      <c r="O54" s="19"/>
      <c r="P54" s="19"/>
      <c r="Q54" s="19"/>
      <c r="R54" s="19"/>
      <c r="S54" s="19"/>
      <c r="T54" s="19"/>
      <c r="U54" s="45"/>
      <c r="V54" s="45"/>
      <c r="W54" s="45"/>
      <c r="X54" s="45"/>
      <c r="Y54" s="45"/>
      <c r="Z54" s="45"/>
      <c r="AA54" s="45"/>
      <c r="AB54" s="45"/>
      <c r="AC54" s="45"/>
      <c r="AD54" s="45"/>
      <c r="AE54" s="45"/>
      <c r="AF54" s="45"/>
      <c r="AG54" s="45"/>
      <c r="AH54" s="45"/>
      <c r="AI54" s="45"/>
      <c r="AJ54" s="45"/>
      <c r="AK54" s="45"/>
      <c r="AL54" s="45"/>
      <c r="AM54" s="45"/>
      <c r="AN54" s="45"/>
      <c r="AO54" s="45"/>
      <c r="AP54" s="45"/>
      <c r="AQ54" s="45"/>
      <c r="AR54" s="45"/>
      <c r="AS54" s="45"/>
      <c r="AT54" s="45"/>
      <c r="AU54" s="45"/>
      <c r="AV54" s="45"/>
      <c r="AW54" s="45"/>
      <c r="AX54" s="45"/>
      <c r="AY54" s="45"/>
      <c r="AZ54" s="45"/>
      <c r="BA54" s="45"/>
      <c r="BB54" s="45"/>
      <c r="BC54" s="45"/>
      <c r="BD54" s="45"/>
      <c r="BE54" s="45"/>
      <c r="BF54" s="45"/>
      <c r="BG54" s="45"/>
      <c r="BH54" s="45"/>
      <c r="BI54" s="45"/>
      <c r="BJ54" s="19"/>
    </row>
    <row r="55" spans="3:70" ht="12.75" customHeight="1">
      <c r="C55" s="19"/>
      <c r="D55" s="19"/>
      <c r="E55" s="19"/>
      <c r="F55" s="19"/>
      <c r="G55" s="19"/>
      <c r="H55" s="19"/>
      <c r="I55" s="19"/>
      <c r="J55" s="19"/>
      <c r="K55" s="19"/>
      <c r="L55" s="19"/>
      <c r="M55" s="19"/>
      <c r="N55" s="19"/>
      <c r="O55" s="19"/>
      <c r="P55" s="19"/>
      <c r="Q55" s="19"/>
      <c r="R55" s="19"/>
      <c r="S55" s="19"/>
      <c r="T55" s="19"/>
      <c r="U55" s="45"/>
      <c r="V55" s="45"/>
      <c r="W55" s="45"/>
      <c r="X55" s="45"/>
      <c r="Y55" s="45"/>
      <c r="Z55" s="45"/>
      <c r="AA55" s="45"/>
      <c r="AB55" s="45"/>
      <c r="AC55" s="45"/>
      <c r="AD55" s="45"/>
      <c r="AE55" s="45"/>
      <c r="AF55" s="45"/>
      <c r="AG55" s="45"/>
      <c r="AH55" s="45"/>
      <c r="AI55" s="45"/>
      <c r="AJ55" s="45"/>
      <c r="AK55" s="45"/>
      <c r="AL55" s="45"/>
      <c r="AM55" s="45"/>
      <c r="AN55" s="45"/>
      <c r="AO55" s="45"/>
      <c r="AP55" s="45"/>
      <c r="AQ55" s="45"/>
      <c r="AR55" s="45"/>
      <c r="AS55" s="45"/>
      <c r="AT55" s="45"/>
      <c r="AU55" s="45"/>
      <c r="AV55" s="45"/>
      <c r="AW55" s="45"/>
      <c r="AX55" s="45"/>
      <c r="AY55" s="45"/>
      <c r="AZ55" s="45"/>
      <c r="BA55" s="45"/>
      <c r="BB55" s="45"/>
      <c r="BC55" s="45"/>
      <c r="BD55" s="45"/>
      <c r="BE55" s="45"/>
      <c r="BF55" s="45"/>
      <c r="BG55" s="45"/>
      <c r="BH55" s="45"/>
      <c r="BI55" s="45"/>
      <c r="BJ55" s="19"/>
    </row>
    <row r="56" spans="3:70" ht="12.75" customHeight="1">
      <c r="C56" s="19"/>
      <c r="D56" s="19"/>
      <c r="E56" s="19"/>
      <c r="F56" s="19"/>
      <c r="G56" s="19"/>
      <c r="H56" s="19"/>
      <c r="I56" s="19"/>
      <c r="J56" s="19"/>
      <c r="K56" s="19"/>
      <c r="L56" s="19"/>
      <c r="M56" s="19"/>
      <c r="N56" s="19"/>
      <c r="O56" s="19"/>
      <c r="P56" s="19"/>
      <c r="Q56" s="19"/>
      <c r="R56" s="19"/>
      <c r="S56" s="19"/>
      <c r="T56" s="19"/>
      <c r="U56" s="45"/>
      <c r="V56" s="45"/>
      <c r="W56" s="45"/>
      <c r="X56" s="45"/>
      <c r="Y56" s="45"/>
      <c r="Z56" s="45"/>
      <c r="AA56" s="45"/>
      <c r="AB56" s="45"/>
      <c r="AC56" s="45"/>
      <c r="AD56" s="45"/>
      <c r="AE56" s="45"/>
      <c r="AF56" s="45"/>
      <c r="AG56" s="45"/>
      <c r="AH56" s="45"/>
      <c r="AI56" s="45"/>
      <c r="AJ56" s="45"/>
      <c r="AK56" s="45"/>
      <c r="AL56" s="45"/>
      <c r="AM56" s="45"/>
      <c r="AN56" s="45"/>
      <c r="AO56" s="45"/>
      <c r="AP56" s="45"/>
      <c r="AQ56" s="45"/>
      <c r="AR56" s="45"/>
      <c r="AS56" s="45"/>
      <c r="AT56" s="45"/>
      <c r="AU56" s="45"/>
      <c r="AV56" s="45"/>
      <c r="AW56" s="45"/>
      <c r="AX56" s="45"/>
      <c r="AY56" s="45"/>
      <c r="AZ56" s="45"/>
      <c r="BA56" s="45"/>
      <c r="BB56" s="45"/>
      <c r="BC56" s="45"/>
      <c r="BD56" s="45"/>
      <c r="BE56" s="45"/>
      <c r="BF56" s="45"/>
      <c r="BG56" s="45"/>
      <c r="BH56" s="45"/>
      <c r="BI56" s="45"/>
      <c r="BJ56" s="19"/>
    </row>
    <row r="57" spans="3:70" ht="12.75" customHeight="1">
      <c r="C57" s="19"/>
      <c r="D57" s="19"/>
      <c r="E57" s="19"/>
      <c r="F57" s="19"/>
      <c r="G57" s="19"/>
      <c r="H57" s="19"/>
      <c r="I57" s="19"/>
      <c r="J57" s="19"/>
      <c r="K57" s="19"/>
      <c r="L57" s="19"/>
      <c r="M57" s="19"/>
      <c r="N57" s="19"/>
      <c r="O57" s="19"/>
      <c r="P57" s="19"/>
      <c r="Q57" s="19"/>
      <c r="R57" s="19"/>
      <c r="S57" s="19"/>
      <c r="T57" s="19"/>
      <c r="U57" s="45"/>
      <c r="V57" s="45"/>
      <c r="W57" s="45"/>
      <c r="X57" s="45"/>
      <c r="Y57" s="45"/>
      <c r="Z57" s="45"/>
      <c r="AA57" s="45"/>
      <c r="AB57" s="45"/>
      <c r="AC57" s="45"/>
      <c r="AD57" s="45"/>
      <c r="AE57" s="45"/>
      <c r="AF57" s="45"/>
      <c r="AG57" s="45"/>
      <c r="AH57" s="45"/>
      <c r="AI57" s="45"/>
      <c r="AJ57" s="45"/>
      <c r="AK57" s="45"/>
      <c r="AL57" s="45"/>
      <c r="AM57" s="45"/>
      <c r="AN57" s="45"/>
      <c r="AO57" s="45"/>
      <c r="AP57" s="45"/>
      <c r="AQ57" s="45"/>
      <c r="AR57" s="45"/>
      <c r="AS57" s="45"/>
      <c r="AT57" s="45"/>
      <c r="AU57" s="45"/>
      <c r="AV57" s="45"/>
      <c r="AW57" s="45"/>
      <c r="AX57" s="45"/>
      <c r="AY57" s="45"/>
      <c r="AZ57" s="45"/>
      <c r="BA57" s="45"/>
      <c r="BB57" s="45"/>
      <c r="BC57" s="45"/>
      <c r="BD57" s="45"/>
      <c r="BE57" s="45"/>
      <c r="BF57" s="45"/>
      <c r="BG57" s="45"/>
      <c r="BH57" s="45"/>
      <c r="BI57" s="45"/>
      <c r="BJ57" s="19"/>
    </row>
    <row r="58" spans="3:70" ht="12.75" customHeight="1">
      <c r="C58" s="19"/>
      <c r="D58" s="19"/>
      <c r="E58" s="19"/>
      <c r="F58" s="19"/>
      <c r="G58" s="19"/>
      <c r="H58" s="19"/>
      <c r="I58" s="19"/>
      <c r="J58" s="19"/>
      <c r="K58" s="19"/>
      <c r="L58" s="19"/>
      <c r="M58" s="19"/>
      <c r="N58" s="19"/>
      <c r="O58" s="19"/>
      <c r="P58" s="19"/>
      <c r="Q58" s="19"/>
      <c r="R58" s="19"/>
      <c r="S58" s="19"/>
      <c r="T58" s="19"/>
      <c r="U58" s="45"/>
      <c r="V58" s="45"/>
      <c r="W58" s="45"/>
      <c r="X58" s="45"/>
      <c r="Y58" s="45"/>
      <c r="Z58" s="45"/>
      <c r="AA58" s="45"/>
      <c r="AB58" s="45"/>
      <c r="AC58" s="45"/>
      <c r="AD58" s="45"/>
      <c r="AE58" s="45"/>
      <c r="AF58" s="45"/>
      <c r="AG58" s="45"/>
      <c r="AH58" s="45"/>
      <c r="AI58" s="45"/>
      <c r="AJ58" s="45"/>
      <c r="AK58" s="45"/>
      <c r="AL58" s="45"/>
      <c r="AM58" s="45"/>
      <c r="AN58" s="45"/>
      <c r="AO58" s="45"/>
      <c r="AP58" s="45"/>
      <c r="AQ58" s="45"/>
      <c r="AR58" s="45"/>
      <c r="AS58" s="45"/>
      <c r="AT58" s="45"/>
      <c r="AU58" s="45"/>
      <c r="AV58" s="45"/>
      <c r="AW58" s="45"/>
      <c r="AX58" s="45"/>
      <c r="AY58" s="45"/>
      <c r="AZ58" s="45"/>
      <c r="BA58" s="45"/>
      <c r="BB58" s="45"/>
      <c r="BC58" s="45"/>
      <c r="BD58" s="45"/>
      <c r="BE58" s="45"/>
      <c r="BF58" s="45"/>
      <c r="BG58" s="45"/>
      <c r="BH58" s="45"/>
      <c r="BI58" s="45"/>
      <c r="BJ58" s="19"/>
    </row>
    <row r="59" spans="3:70" ht="12.75" customHeight="1">
      <c r="C59" s="19"/>
      <c r="D59" s="19"/>
      <c r="E59" s="19"/>
      <c r="F59" s="19"/>
      <c r="G59" s="19"/>
      <c r="H59" s="19"/>
      <c r="I59" s="19"/>
      <c r="J59" s="19"/>
      <c r="K59" s="19"/>
      <c r="L59" s="19"/>
      <c r="M59" s="19"/>
      <c r="N59" s="19"/>
      <c r="O59" s="19"/>
      <c r="P59" s="19"/>
      <c r="Q59" s="19"/>
      <c r="R59" s="19"/>
      <c r="S59" s="19"/>
      <c r="T59" s="19"/>
      <c r="U59" s="45"/>
      <c r="V59" s="45"/>
      <c r="W59" s="45"/>
      <c r="X59" s="45"/>
      <c r="Y59" s="45"/>
      <c r="Z59" s="45"/>
      <c r="AA59" s="45"/>
      <c r="AB59" s="45"/>
      <c r="AC59" s="45"/>
      <c r="AD59" s="45"/>
      <c r="AE59" s="45"/>
      <c r="AF59" s="45"/>
      <c r="AG59" s="45"/>
      <c r="AH59" s="45"/>
      <c r="AI59" s="45"/>
      <c r="AJ59" s="45"/>
      <c r="AK59" s="45"/>
      <c r="AL59" s="45"/>
      <c r="AM59" s="45"/>
      <c r="AN59" s="45"/>
      <c r="AO59" s="45"/>
      <c r="AP59" s="45"/>
      <c r="AQ59" s="45"/>
      <c r="AR59" s="45"/>
      <c r="AS59" s="45"/>
      <c r="AT59" s="45"/>
      <c r="AU59" s="45"/>
      <c r="AV59" s="45"/>
      <c r="AW59" s="45"/>
      <c r="AX59" s="45"/>
      <c r="AY59" s="45"/>
      <c r="AZ59" s="45"/>
      <c r="BA59" s="45"/>
      <c r="BB59" s="45"/>
      <c r="BC59" s="45"/>
      <c r="BD59" s="45"/>
      <c r="BE59" s="45"/>
      <c r="BF59" s="45"/>
      <c r="BG59" s="45"/>
      <c r="BH59" s="45"/>
      <c r="BI59" s="45"/>
      <c r="BJ59" s="19"/>
    </row>
    <row r="60" spans="3:70" s="1" customFormat="1" ht="12.75" customHeight="1">
      <c r="C60" s="19"/>
      <c r="D60" s="19"/>
      <c r="E60" s="19"/>
      <c r="F60" s="19"/>
      <c r="G60" s="19"/>
      <c r="H60" s="19"/>
      <c r="I60" s="19"/>
      <c r="J60" s="19"/>
      <c r="K60" s="19"/>
      <c r="L60" s="19"/>
      <c r="M60" s="19"/>
      <c r="N60" s="19"/>
      <c r="O60" s="19"/>
      <c r="P60" s="19"/>
      <c r="Q60" s="19"/>
      <c r="R60" s="19"/>
      <c r="S60" s="19"/>
      <c r="T60" s="19"/>
      <c r="U60" s="45"/>
      <c r="V60" s="45"/>
      <c r="W60" s="45"/>
      <c r="X60" s="45"/>
      <c r="Y60" s="45"/>
      <c r="Z60" s="45"/>
      <c r="AA60" s="45"/>
      <c r="AB60" s="45"/>
      <c r="AC60" s="45"/>
      <c r="AD60" s="45"/>
      <c r="AE60" s="45"/>
      <c r="AF60" s="45"/>
      <c r="AG60" s="45"/>
      <c r="AH60" s="45"/>
      <c r="AI60" s="45"/>
      <c r="AJ60" s="45"/>
      <c r="AK60" s="45"/>
      <c r="AL60" s="45"/>
      <c r="AM60" s="45"/>
      <c r="AN60" s="45"/>
      <c r="AO60" s="45"/>
      <c r="AP60" s="45"/>
      <c r="AQ60" s="45"/>
      <c r="AR60" s="45"/>
      <c r="AS60" s="45"/>
      <c r="AT60" s="45"/>
      <c r="AU60" s="45"/>
      <c r="AV60" s="45"/>
      <c r="AW60" s="45"/>
      <c r="AX60" s="45"/>
      <c r="AY60" s="45"/>
      <c r="AZ60" s="45"/>
      <c r="BA60" s="45"/>
      <c r="BB60" s="45"/>
      <c r="BC60" s="45"/>
      <c r="BD60" s="45"/>
      <c r="BE60" s="45"/>
      <c r="BF60" s="45"/>
      <c r="BG60" s="45"/>
      <c r="BH60" s="45"/>
      <c r="BI60" s="45"/>
      <c r="BJ60" s="19"/>
    </row>
    <row r="61" spans="3:70" s="1" customFormat="1" ht="12.75" customHeight="1">
      <c r="C61" s="19"/>
      <c r="D61" s="19"/>
      <c r="E61" s="19"/>
      <c r="F61" s="19"/>
      <c r="G61" s="19"/>
      <c r="H61" s="19"/>
      <c r="I61" s="19"/>
      <c r="J61" s="19"/>
      <c r="K61" s="19"/>
      <c r="L61" s="19"/>
      <c r="M61" s="19"/>
      <c r="N61" s="19"/>
      <c r="O61" s="19"/>
      <c r="P61" s="19"/>
      <c r="Q61" s="19"/>
      <c r="R61" s="19"/>
      <c r="S61" s="19"/>
      <c r="T61" s="19"/>
      <c r="U61" s="45"/>
      <c r="V61" s="45"/>
      <c r="W61" s="45"/>
      <c r="X61" s="45"/>
      <c r="Y61" s="45"/>
      <c r="Z61" s="45"/>
      <c r="AA61" s="45"/>
      <c r="AB61" s="45"/>
      <c r="AC61" s="45"/>
      <c r="AD61" s="45"/>
      <c r="AE61" s="45"/>
      <c r="AF61" s="45"/>
      <c r="AG61" s="45"/>
      <c r="AH61" s="45"/>
      <c r="AI61" s="45"/>
      <c r="AJ61" s="45"/>
      <c r="AK61" s="45"/>
      <c r="AL61" s="45"/>
      <c r="AM61" s="45"/>
      <c r="AN61" s="45"/>
      <c r="AO61" s="45"/>
      <c r="AP61" s="45"/>
      <c r="AQ61" s="45"/>
      <c r="AR61" s="45"/>
      <c r="AS61" s="45"/>
      <c r="AT61" s="45"/>
      <c r="AU61" s="45"/>
      <c r="AV61" s="45"/>
      <c r="AW61" s="45"/>
      <c r="AX61" s="45"/>
      <c r="AY61" s="45"/>
      <c r="AZ61" s="45"/>
      <c r="BA61" s="45"/>
      <c r="BB61" s="45"/>
      <c r="BC61" s="45"/>
      <c r="BD61" s="45"/>
      <c r="BE61" s="45"/>
      <c r="BF61" s="45"/>
      <c r="BG61" s="45"/>
      <c r="BH61" s="45"/>
      <c r="BI61" s="45"/>
      <c r="BJ61" s="19"/>
    </row>
    <row r="62" spans="3:70" s="1" customFormat="1" ht="12.75" customHeight="1">
      <c r="C62" s="19"/>
      <c r="D62" s="19"/>
      <c r="E62" s="19"/>
      <c r="F62" s="19"/>
      <c r="G62" s="19"/>
      <c r="H62" s="19"/>
      <c r="I62" s="19"/>
      <c r="J62" s="19"/>
      <c r="K62" s="19"/>
      <c r="L62" s="19"/>
      <c r="M62" s="19"/>
      <c r="N62" s="19"/>
      <c r="O62" s="19"/>
      <c r="P62" s="19"/>
      <c r="Q62" s="19"/>
      <c r="R62" s="19"/>
      <c r="S62" s="19"/>
      <c r="T62" s="19"/>
      <c r="U62" s="45"/>
      <c r="V62" s="45"/>
      <c r="W62" s="45"/>
      <c r="X62" s="45"/>
      <c r="Y62" s="45"/>
      <c r="Z62" s="45"/>
      <c r="AA62" s="45"/>
      <c r="AB62" s="45"/>
      <c r="AC62" s="45"/>
      <c r="AD62" s="45"/>
      <c r="AE62" s="45"/>
      <c r="AF62" s="45"/>
      <c r="AG62" s="45"/>
      <c r="AH62" s="45"/>
      <c r="AI62" s="45"/>
      <c r="AJ62" s="45"/>
      <c r="AK62" s="45"/>
      <c r="AL62" s="45"/>
      <c r="AM62" s="45"/>
      <c r="AN62" s="45"/>
      <c r="AO62" s="45"/>
      <c r="AP62" s="45"/>
      <c r="AQ62" s="45"/>
      <c r="AR62" s="45"/>
      <c r="AS62" s="45"/>
      <c r="AT62" s="45"/>
      <c r="AU62" s="45"/>
      <c r="AV62" s="45"/>
      <c r="AW62" s="45"/>
      <c r="AX62" s="45"/>
      <c r="AY62" s="45"/>
      <c r="AZ62" s="45"/>
      <c r="BA62" s="45"/>
      <c r="BB62" s="45"/>
      <c r="BC62" s="45"/>
      <c r="BD62" s="45"/>
      <c r="BE62" s="45"/>
      <c r="BF62" s="45"/>
      <c r="BG62" s="45"/>
      <c r="BH62" s="45"/>
      <c r="BI62" s="45"/>
      <c r="BJ62" s="19"/>
    </row>
    <row r="63" spans="3:70" s="1" customFormat="1" ht="12.75" customHeight="1">
      <c r="C63" s="19"/>
      <c r="D63" s="19"/>
      <c r="E63" s="19"/>
      <c r="F63" s="19"/>
      <c r="G63" s="19"/>
      <c r="H63" s="19"/>
      <c r="I63" s="19"/>
      <c r="J63" s="19"/>
      <c r="K63" s="19"/>
      <c r="L63" s="19"/>
      <c r="M63" s="19"/>
      <c r="N63" s="19"/>
      <c r="O63" s="19"/>
      <c r="P63" s="19"/>
      <c r="Q63" s="19"/>
      <c r="R63" s="19"/>
      <c r="S63" s="19"/>
      <c r="T63" s="19"/>
      <c r="U63" s="45"/>
      <c r="V63" s="45"/>
      <c r="W63" s="45"/>
      <c r="X63" s="45"/>
      <c r="Y63" s="45"/>
      <c r="Z63" s="45"/>
      <c r="AA63" s="45"/>
      <c r="AB63" s="45"/>
      <c r="AC63" s="45"/>
      <c r="AD63" s="45"/>
      <c r="AE63" s="45"/>
      <c r="AF63" s="45"/>
      <c r="AG63" s="45"/>
      <c r="AH63" s="45"/>
      <c r="AI63" s="45"/>
      <c r="AJ63" s="45"/>
      <c r="AK63" s="45"/>
      <c r="AL63" s="45"/>
      <c r="AM63" s="45"/>
      <c r="AN63" s="45"/>
      <c r="AO63" s="45"/>
      <c r="AP63" s="45"/>
      <c r="AQ63" s="45"/>
      <c r="AR63" s="45"/>
      <c r="AS63" s="45"/>
      <c r="AT63" s="45"/>
      <c r="AU63" s="45"/>
      <c r="AV63" s="45"/>
      <c r="AW63" s="45"/>
      <c r="AX63" s="45"/>
      <c r="AY63" s="45"/>
      <c r="AZ63" s="45"/>
      <c r="BA63" s="45"/>
      <c r="BB63" s="45"/>
      <c r="BC63" s="45"/>
      <c r="BD63" s="45"/>
      <c r="BE63" s="45"/>
      <c r="BF63" s="45"/>
      <c r="BG63" s="45"/>
      <c r="BH63" s="45"/>
      <c r="BI63" s="45"/>
      <c r="BJ63" s="19"/>
    </row>
    <row r="64" spans="3:70" s="1" customFormat="1" ht="12.75" customHeight="1">
      <c r="C64" s="19"/>
      <c r="D64" s="19"/>
      <c r="E64" s="19"/>
      <c r="F64" s="19"/>
      <c r="G64" s="19"/>
      <c r="H64" s="19"/>
      <c r="I64" s="19"/>
      <c r="J64" s="19"/>
      <c r="K64" s="19"/>
      <c r="L64" s="19"/>
      <c r="M64" s="19"/>
      <c r="N64" s="19"/>
      <c r="O64" s="19"/>
      <c r="P64" s="19"/>
      <c r="Q64" s="19"/>
      <c r="R64" s="19"/>
      <c r="S64" s="19"/>
      <c r="T64" s="19"/>
      <c r="U64" s="45"/>
      <c r="V64" s="45"/>
      <c r="W64" s="45"/>
      <c r="X64" s="45"/>
      <c r="Y64" s="45"/>
      <c r="Z64" s="45"/>
      <c r="AA64" s="45"/>
      <c r="AB64" s="45"/>
      <c r="AC64" s="45"/>
      <c r="AD64" s="45"/>
      <c r="AE64" s="45"/>
      <c r="AF64" s="45"/>
      <c r="AG64" s="45"/>
      <c r="AH64" s="45"/>
      <c r="AI64" s="45"/>
      <c r="AJ64" s="45"/>
      <c r="AK64" s="45"/>
      <c r="AL64" s="45"/>
      <c r="AM64" s="45"/>
      <c r="AN64" s="45"/>
      <c r="AO64" s="45"/>
      <c r="AP64" s="45"/>
      <c r="AQ64" s="45"/>
      <c r="AR64" s="45"/>
      <c r="AS64" s="45"/>
      <c r="AT64" s="45"/>
      <c r="AU64" s="45"/>
      <c r="AV64" s="45"/>
      <c r="AW64" s="45"/>
      <c r="AX64" s="45"/>
      <c r="AY64" s="45"/>
      <c r="AZ64" s="45"/>
      <c r="BA64" s="45"/>
      <c r="BB64" s="45"/>
      <c r="BC64" s="45"/>
      <c r="BD64" s="45"/>
      <c r="BE64" s="45"/>
      <c r="BF64" s="45"/>
      <c r="BG64" s="45"/>
      <c r="BH64" s="45"/>
      <c r="BI64" s="45"/>
      <c r="BJ64" s="19"/>
    </row>
    <row r="65" spans="3:62" s="1" customFormat="1" ht="12.75" customHeight="1">
      <c r="C65" s="19"/>
      <c r="D65" s="19"/>
      <c r="E65" s="19"/>
      <c r="F65" s="19"/>
      <c r="G65" s="19"/>
      <c r="H65" s="19"/>
      <c r="I65" s="19"/>
      <c r="J65" s="19"/>
      <c r="K65" s="19"/>
      <c r="L65" s="19"/>
      <c r="M65" s="19"/>
      <c r="N65" s="19"/>
      <c r="O65" s="19"/>
      <c r="P65" s="19"/>
      <c r="Q65" s="19"/>
      <c r="R65" s="19"/>
      <c r="S65" s="19"/>
      <c r="T65" s="19"/>
      <c r="U65" s="45"/>
      <c r="V65" s="45"/>
      <c r="W65" s="45"/>
      <c r="X65" s="45"/>
      <c r="Y65" s="45"/>
      <c r="Z65" s="45"/>
      <c r="AA65" s="45"/>
      <c r="AB65" s="45"/>
      <c r="AC65" s="45"/>
      <c r="AD65" s="45"/>
      <c r="AE65" s="45"/>
      <c r="AF65" s="45"/>
      <c r="AG65" s="45"/>
      <c r="AH65" s="45"/>
      <c r="AI65" s="45"/>
      <c r="AJ65" s="45"/>
      <c r="AK65" s="45"/>
      <c r="AL65" s="45"/>
      <c r="AM65" s="45"/>
      <c r="AN65" s="45"/>
      <c r="AO65" s="45"/>
      <c r="AP65" s="45"/>
      <c r="AQ65" s="45"/>
      <c r="AR65" s="45"/>
      <c r="AS65" s="45"/>
      <c r="AT65" s="45"/>
      <c r="AU65" s="45"/>
      <c r="AV65" s="45"/>
      <c r="AW65" s="45"/>
      <c r="AX65" s="45"/>
      <c r="AY65" s="45"/>
      <c r="AZ65" s="45"/>
      <c r="BA65" s="45"/>
      <c r="BB65" s="45"/>
      <c r="BC65" s="45"/>
      <c r="BD65" s="45"/>
      <c r="BE65" s="45"/>
      <c r="BF65" s="45"/>
      <c r="BG65" s="45"/>
      <c r="BH65" s="45"/>
      <c r="BI65" s="45"/>
      <c r="BJ65" s="19"/>
    </row>
    <row r="66" spans="3:62" s="1" customFormat="1" ht="12.75" customHeight="1">
      <c r="C66" s="19"/>
      <c r="D66" s="19"/>
      <c r="E66" s="19"/>
      <c r="F66" s="19"/>
      <c r="G66" s="19"/>
      <c r="H66" s="19"/>
      <c r="I66" s="19"/>
      <c r="J66" s="19"/>
      <c r="K66" s="19"/>
      <c r="L66" s="19"/>
      <c r="M66" s="19"/>
      <c r="N66" s="19"/>
      <c r="O66" s="19"/>
      <c r="P66" s="19"/>
      <c r="Q66" s="19"/>
      <c r="R66" s="19"/>
      <c r="S66" s="19"/>
      <c r="T66" s="19"/>
      <c r="U66" s="45"/>
      <c r="V66" s="45"/>
      <c r="W66" s="45"/>
      <c r="X66" s="45"/>
      <c r="Y66" s="45"/>
      <c r="Z66" s="45"/>
      <c r="AA66" s="45"/>
      <c r="AB66" s="45"/>
      <c r="AC66" s="45"/>
      <c r="AD66" s="45"/>
      <c r="AE66" s="45"/>
      <c r="AF66" s="45"/>
      <c r="AG66" s="45"/>
      <c r="AH66" s="45"/>
      <c r="AI66" s="45"/>
      <c r="AJ66" s="45"/>
      <c r="AK66" s="45"/>
      <c r="AL66" s="45"/>
      <c r="AM66" s="45"/>
      <c r="AN66" s="45"/>
      <c r="AO66" s="45"/>
      <c r="AP66" s="45"/>
      <c r="AQ66" s="45"/>
      <c r="AR66" s="45"/>
      <c r="AS66" s="45"/>
      <c r="AT66" s="45"/>
      <c r="AU66" s="45"/>
      <c r="AV66" s="45"/>
      <c r="AW66" s="45"/>
      <c r="AX66" s="45"/>
      <c r="AY66" s="45"/>
      <c r="AZ66" s="45"/>
      <c r="BA66" s="45"/>
      <c r="BB66" s="45"/>
      <c r="BC66" s="45"/>
      <c r="BD66" s="45"/>
      <c r="BE66" s="45"/>
      <c r="BF66" s="45"/>
      <c r="BG66" s="45"/>
      <c r="BH66" s="45"/>
      <c r="BI66" s="45"/>
      <c r="BJ66" s="19"/>
    </row>
    <row r="67" spans="3:62" s="1" customFormat="1" ht="12.75" customHeight="1">
      <c r="C67" s="19"/>
      <c r="D67" s="19"/>
      <c r="E67" s="19"/>
      <c r="F67" s="19"/>
      <c r="G67" s="19"/>
      <c r="H67" s="19"/>
      <c r="I67" s="19"/>
      <c r="J67" s="19"/>
      <c r="K67" s="19"/>
      <c r="L67" s="19"/>
      <c r="M67" s="19"/>
      <c r="N67" s="19"/>
      <c r="O67" s="19"/>
      <c r="P67" s="19"/>
      <c r="Q67" s="19"/>
      <c r="R67" s="19"/>
      <c r="S67" s="19"/>
      <c r="T67" s="19"/>
      <c r="U67" s="45"/>
      <c r="V67" s="45"/>
      <c r="W67" s="45"/>
      <c r="X67" s="45"/>
      <c r="Y67" s="45"/>
      <c r="Z67" s="45"/>
      <c r="AA67" s="45"/>
      <c r="AB67" s="45"/>
      <c r="AC67" s="45"/>
      <c r="AD67" s="45"/>
      <c r="AE67" s="45"/>
      <c r="AF67" s="45"/>
      <c r="AG67" s="45"/>
      <c r="AH67" s="45"/>
      <c r="AI67" s="45"/>
      <c r="AJ67" s="45"/>
      <c r="AK67" s="45"/>
      <c r="AL67" s="45"/>
      <c r="AM67" s="45"/>
      <c r="AN67" s="45"/>
      <c r="AO67" s="45"/>
      <c r="AP67" s="45"/>
      <c r="AQ67" s="45"/>
      <c r="AR67" s="45"/>
      <c r="AS67" s="45"/>
      <c r="AT67" s="45"/>
      <c r="AU67" s="45"/>
      <c r="AV67" s="45"/>
      <c r="AW67" s="45"/>
      <c r="AX67" s="45"/>
      <c r="AY67" s="45"/>
      <c r="AZ67" s="45"/>
      <c r="BA67" s="45"/>
      <c r="BB67" s="45"/>
      <c r="BC67" s="45"/>
      <c r="BD67" s="45"/>
      <c r="BE67" s="45"/>
      <c r="BF67" s="45"/>
      <c r="BG67" s="45"/>
      <c r="BH67" s="45"/>
      <c r="BI67" s="45"/>
      <c r="BJ67" s="19"/>
    </row>
    <row r="68" spans="3:62" s="1" customFormat="1" ht="12.75" customHeight="1">
      <c r="C68" s="19"/>
      <c r="D68" s="19"/>
      <c r="E68" s="19"/>
      <c r="F68" s="19"/>
      <c r="G68" s="19"/>
      <c r="H68" s="19"/>
      <c r="I68" s="19"/>
      <c r="J68" s="19"/>
      <c r="K68" s="19"/>
      <c r="L68" s="19"/>
      <c r="M68" s="19"/>
      <c r="N68" s="19"/>
      <c r="O68" s="19"/>
      <c r="P68" s="19"/>
      <c r="Q68" s="19"/>
      <c r="R68" s="19"/>
      <c r="S68" s="19"/>
      <c r="T68" s="19"/>
      <c r="U68" s="45"/>
      <c r="V68" s="45"/>
      <c r="W68" s="45"/>
      <c r="X68" s="45"/>
      <c r="Y68" s="45"/>
      <c r="Z68" s="45"/>
      <c r="AA68" s="45"/>
      <c r="AB68" s="45"/>
      <c r="AC68" s="45"/>
      <c r="AD68" s="45"/>
      <c r="AE68" s="45"/>
      <c r="AF68" s="45"/>
      <c r="AG68" s="45"/>
      <c r="AH68" s="45"/>
      <c r="AI68" s="45"/>
      <c r="AJ68" s="45"/>
      <c r="AK68" s="45"/>
      <c r="AL68" s="45"/>
      <c r="AM68" s="45"/>
      <c r="AN68" s="45"/>
      <c r="AO68" s="45"/>
      <c r="AP68" s="45"/>
      <c r="AQ68" s="45"/>
      <c r="AR68" s="45"/>
      <c r="AS68" s="45"/>
      <c r="AT68" s="45"/>
      <c r="AU68" s="45"/>
      <c r="AV68" s="45"/>
      <c r="AW68" s="45"/>
      <c r="AX68" s="45"/>
      <c r="AY68" s="45"/>
      <c r="AZ68" s="45"/>
      <c r="BA68" s="45"/>
      <c r="BB68" s="45"/>
      <c r="BC68" s="45"/>
      <c r="BD68" s="45"/>
      <c r="BE68" s="45"/>
      <c r="BF68" s="45"/>
      <c r="BG68" s="45"/>
      <c r="BH68" s="45"/>
      <c r="BI68" s="45"/>
      <c r="BJ68" s="19"/>
    </row>
    <row r="69" spans="3:62" s="1" customFormat="1" ht="12.75" customHeight="1">
      <c r="C69" s="19"/>
      <c r="D69" s="19"/>
      <c r="E69" s="19"/>
      <c r="F69" s="19"/>
      <c r="G69" s="19"/>
      <c r="H69" s="19"/>
      <c r="I69" s="19"/>
      <c r="J69" s="19"/>
      <c r="K69" s="19"/>
      <c r="L69" s="19"/>
      <c r="M69" s="19"/>
      <c r="N69" s="19"/>
      <c r="O69" s="19"/>
      <c r="P69" s="19"/>
      <c r="Q69" s="19"/>
      <c r="R69" s="19"/>
      <c r="S69" s="19"/>
      <c r="T69" s="19"/>
      <c r="U69" s="45"/>
      <c r="V69" s="45"/>
      <c r="W69" s="45"/>
      <c r="X69" s="45"/>
      <c r="Y69" s="45"/>
      <c r="Z69" s="45"/>
      <c r="AA69" s="45"/>
      <c r="AB69" s="45"/>
      <c r="AC69" s="45"/>
      <c r="AD69" s="45"/>
      <c r="AE69" s="45"/>
      <c r="AF69" s="45"/>
      <c r="AG69" s="45"/>
      <c r="AH69" s="45"/>
      <c r="AI69" s="45"/>
      <c r="AJ69" s="45"/>
      <c r="AK69" s="45"/>
      <c r="AL69" s="45"/>
      <c r="AM69" s="45"/>
      <c r="AN69" s="45"/>
      <c r="AO69" s="45"/>
      <c r="AP69" s="45"/>
      <c r="AQ69" s="45"/>
      <c r="AR69" s="45"/>
      <c r="AS69" s="45"/>
      <c r="AT69" s="45"/>
      <c r="AU69" s="45"/>
      <c r="AV69" s="45"/>
      <c r="AW69" s="45"/>
      <c r="AX69" s="45"/>
      <c r="AY69" s="45"/>
      <c r="AZ69" s="45"/>
      <c r="BA69" s="45"/>
      <c r="BB69" s="45"/>
      <c r="BC69" s="45"/>
      <c r="BD69" s="45"/>
      <c r="BE69" s="45"/>
      <c r="BF69" s="45"/>
      <c r="BG69" s="45"/>
      <c r="BH69" s="45"/>
      <c r="BI69" s="45"/>
      <c r="BJ69" s="19"/>
    </row>
    <row r="70" spans="3:62" s="1" customFormat="1" ht="12.75" customHeight="1">
      <c r="C70" s="19"/>
      <c r="D70" s="19"/>
      <c r="E70" s="19"/>
      <c r="F70" s="19"/>
      <c r="G70" s="19"/>
      <c r="H70" s="19"/>
      <c r="I70" s="19"/>
      <c r="J70" s="19"/>
      <c r="K70" s="19"/>
      <c r="L70" s="19"/>
      <c r="M70" s="19"/>
      <c r="N70" s="19"/>
      <c r="O70" s="19"/>
      <c r="P70" s="19"/>
      <c r="Q70" s="19"/>
      <c r="R70" s="19"/>
      <c r="S70" s="19"/>
      <c r="T70" s="19"/>
      <c r="U70" s="45"/>
      <c r="V70" s="45"/>
      <c r="W70" s="45"/>
      <c r="X70" s="45"/>
      <c r="Y70" s="45"/>
      <c r="Z70" s="45"/>
      <c r="AA70" s="45"/>
      <c r="AB70" s="45"/>
      <c r="AC70" s="45"/>
      <c r="AD70" s="45"/>
      <c r="AE70" s="45"/>
      <c r="AF70" s="45"/>
      <c r="AG70" s="45"/>
      <c r="AH70" s="45"/>
      <c r="AI70" s="45"/>
      <c r="AJ70" s="45"/>
      <c r="AK70" s="45"/>
      <c r="AL70" s="45"/>
      <c r="AM70" s="45"/>
      <c r="AN70" s="45"/>
      <c r="AO70" s="45"/>
      <c r="AP70" s="45"/>
      <c r="AQ70" s="45"/>
      <c r="AR70" s="45"/>
      <c r="AS70" s="45"/>
      <c r="AT70" s="45"/>
      <c r="AU70" s="45"/>
      <c r="AV70" s="45"/>
      <c r="AW70" s="45"/>
      <c r="AX70" s="45"/>
      <c r="AY70" s="45"/>
      <c r="AZ70" s="45"/>
      <c r="BA70" s="45"/>
      <c r="BB70" s="45"/>
      <c r="BC70" s="45"/>
      <c r="BD70" s="45"/>
      <c r="BE70" s="45"/>
      <c r="BF70" s="45"/>
      <c r="BG70" s="45"/>
      <c r="BH70" s="45"/>
      <c r="BI70" s="45"/>
      <c r="BJ70" s="19"/>
    </row>
    <row r="71" spans="3:62" s="1" customFormat="1" ht="12.75" customHeight="1">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46"/>
      <c r="AE71" s="46"/>
      <c r="AF71" s="46"/>
      <c r="AG71" s="46"/>
      <c r="AH71" s="46"/>
      <c r="AI71" s="46"/>
      <c r="AJ71" s="46"/>
      <c r="AK71" s="46"/>
      <c r="AL71" s="46"/>
      <c r="AM71" s="46"/>
      <c r="AN71" s="46"/>
      <c r="AO71" s="46"/>
      <c r="AP71" s="46"/>
      <c r="AQ71" s="46"/>
      <c r="AR71" s="46"/>
      <c r="AS71" s="46"/>
      <c r="AT71" s="19"/>
      <c r="AU71" s="19"/>
      <c r="AV71" s="19"/>
      <c r="AW71" s="19"/>
      <c r="AX71" s="19"/>
      <c r="AY71" s="19"/>
      <c r="AZ71" s="19"/>
      <c r="BA71" s="19"/>
      <c r="BB71" s="19"/>
      <c r="BC71" s="19"/>
      <c r="BD71" s="19"/>
      <c r="BE71" s="19"/>
      <c r="BF71" s="19"/>
      <c r="BG71" s="19"/>
      <c r="BH71" s="19"/>
      <c r="BI71" s="19"/>
      <c r="BJ71" s="19"/>
    </row>
    <row r="72" spans="3:62" s="1" customFormat="1" ht="12.75" customHeight="1">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46"/>
      <c r="AE72" s="46"/>
      <c r="AF72" s="46"/>
      <c r="AG72" s="46"/>
      <c r="AH72" s="46"/>
      <c r="AI72" s="46"/>
      <c r="AJ72" s="46"/>
      <c r="AK72" s="46"/>
      <c r="AL72" s="46"/>
      <c r="AM72" s="46"/>
      <c r="AN72" s="46"/>
      <c r="AO72" s="46"/>
      <c r="AP72" s="46"/>
      <c r="AQ72" s="46"/>
      <c r="AR72" s="46"/>
      <c r="AS72" s="46"/>
      <c r="AT72" s="19"/>
      <c r="AU72" s="19"/>
      <c r="AV72" s="19"/>
      <c r="AW72" s="19"/>
      <c r="AX72" s="19"/>
      <c r="AY72" s="19"/>
      <c r="AZ72" s="19"/>
      <c r="BA72" s="19"/>
      <c r="BB72" s="19"/>
      <c r="BC72" s="19"/>
      <c r="BD72" s="19"/>
      <c r="BE72" s="19"/>
      <c r="BF72" s="19"/>
      <c r="BG72" s="19"/>
      <c r="BH72" s="19"/>
      <c r="BI72" s="19"/>
      <c r="BJ72" s="19"/>
    </row>
    <row r="73" spans="3:62" s="1" customFormat="1" ht="12.75" customHeight="1">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46"/>
      <c r="AE73" s="46"/>
      <c r="AF73" s="46"/>
      <c r="AG73" s="46"/>
      <c r="AH73" s="46"/>
      <c r="AI73" s="46"/>
      <c r="AJ73" s="46"/>
      <c r="AK73" s="46"/>
      <c r="AL73" s="46"/>
      <c r="AM73" s="46"/>
      <c r="AN73" s="46"/>
      <c r="AO73" s="46"/>
      <c r="AP73" s="46"/>
      <c r="AQ73" s="46"/>
      <c r="AR73" s="46"/>
      <c r="AS73" s="46"/>
      <c r="AT73" s="19"/>
      <c r="AU73" s="19"/>
      <c r="AV73" s="19"/>
      <c r="AW73" s="19"/>
      <c r="AX73" s="19"/>
      <c r="AY73" s="19"/>
      <c r="AZ73" s="19"/>
      <c r="BA73" s="19"/>
      <c r="BB73" s="19"/>
      <c r="BC73" s="19"/>
      <c r="BD73" s="19"/>
      <c r="BE73" s="19"/>
      <c r="BF73" s="19"/>
      <c r="BG73" s="19"/>
      <c r="BH73" s="19"/>
      <c r="BI73" s="19"/>
      <c r="BJ73" s="19"/>
    </row>
    <row r="74" spans="3:62" s="1" customFormat="1" ht="12.75" customHeight="1">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46"/>
      <c r="AE74" s="46"/>
      <c r="AF74" s="46"/>
      <c r="AG74" s="46"/>
      <c r="AH74" s="46"/>
      <c r="AI74" s="46"/>
      <c r="AJ74" s="46"/>
      <c r="AK74" s="46"/>
      <c r="AL74" s="46"/>
      <c r="AM74" s="46"/>
      <c r="AN74" s="46"/>
      <c r="AO74" s="46"/>
      <c r="AP74" s="46"/>
      <c r="AQ74" s="46"/>
      <c r="AR74" s="46"/>
      <c r="AS74" s="46"/>
      <c r="AT74" s="19"/>
      <c r="AU74" s="19"/>
      <c r="AV74" s="19"/>
      <c r="AW74" s="19"/>
      <c r="AX74" s="19"/>
      <c r="AY74" s="19"/>
      <c r="AZ74" s="19"/>
      <c r="BA74" s="19"/>
      <c r="BB74" s="19"/>
      <c r="BC74" s="19"/>
      <c r="BD74" s="19"/>
      <c r="BE74" s="19"/>
      <c r="BF74" s="19"/>
      <c r="BG74" s="19"/>
      <c r="BH74" s="19"/>
      <c r="BI74" s="19"/>
      <c r="BJ74" s="19"/>
    </row>
    <row r="75" spans="3:62" s="1" customFormat="1" ht="12.75" customHeight="1">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46"/>
      <c r="AE75" s="46"/>
      <c r="AF75" s="46"/>
      <c r="AG75" s="46"/>
      <c r="AH75" s="46"/>
      <c r="AI75" s="46"/>
      <c r="AJ75" s="46"/>
      <c r="AK75" s="46"/>
      <c r="AL75" s="46"/>
      <c r="AM75" s="46"/>
      <c r="AN75" s="46"/>
      <c r="AO75" s="46"/>
      <c r="AP75" s="46"/>
      <c r="AQ75" s="46"/>
      <c r="AR75" s="46"/>
      <c r="AS75" s="46"/>
      <c r="AT75" s="19"/>
      <c r="AU75" s="19"/>
      <c r="AV75" s="19"/>
      <c r="AW75" s="19"/>
      <c r="AX75" s="19"/>
      <c r="AY75" s="19"/>
      <c r="AZ75" s="19"/>
      <c r="BA75" s="19"/>
      <c r="BB75" s="19"/>
      <c r="BC75" s="19"/>
      <c r="BD75" s="19"/>
      <c r="BE75" s="19"/>
      <c r="BF75" s="19"/>
      <c r="BG75" s="19"/>
      <c r="BH75" s="19"/>
      <c r="BI75" s="19"/>
      <c r="BJ75" s="19"/>
    </row>
    <row r="76" spans="3:62" s="1" customFormat="1" ht="12.75" customHeight="1">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46"/>
      <c r="AE76" s="46"/>
      <c r="AF76" s="46"/>
      <c r="AG76" s="46"/>
      <c r="AH76" s="46"/>
      <c r="AI76" s="46"/>
      <c r="AJ76" s="46"/>
      <c r="AK76" s="46"/>
      <c r="AL76" s="46"/>
      <c r="AM76" s="46"/>
      <c r="AN76" s="46"/>
      <c r="AO76" s="46"/>
      <c r="AP76" s="46"/>
      <c r="AQ76" s="46"/>
      <c r="AR76" s="46"/>
      <c r="AS76" s="46"/>
      <c r="AT76" s="19"/>
      <c r="AU76" s="19"/>
      <c r="AV76" s="19"/>
      <c r="AW76" s="19"/>
      <c r="AX76" s="19"/>
      <c r="AY76" s="19"/>
      <c r="AZ76" s="19"/>
      <c r="BA76" s="19"/>
      <c r="BB76" s="19"/>
      <c r="BC76" s="19"/>
      <c r="BD76" s="19"/>
      <c r="BE76" s="19"/>
      <c r="BF76" s="19"/>
      <c r="BG76" s="19"/>
      <c r="BH76" s="19"/>
      <c r="BI76" s="19"/>
      <c r="BJ76" s="19"/>
    </row>
    <row r="77" spans="3:62" s="1" customFormat="1" ht="12.75" customHeight="1">
      <c r="C77" s="19"/>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c r="AD77" s="46"/>
      <c r="AE77" s="46"/>
      <c r="AF77" s="46"/>
      <c r="AG77" s="46"/>
      <c r="AH77" s="46"/>
      <c r="AI77" s="46"/>
      <c r="AJ77" s="46"/>
      <c r="AK77" s="46"/>
      <c r="AL77" s="46"/>
      <c r="AM77" s="46"/>
      <c r="AN77" s="46"/>
      <c r="AO77" s="46"/>
      <c r="AP77" s="46"/>
      <c r="AQ77" s="46"/>
      <c r="AR77" s="46"/>
      <c r="AS77" s="46"/>
      <c r="AT77" s="19"/>
      <c r="AU77" s="19"/>
      <c r="AV77" s="19"/>
      <c r="AW77" s="19"/>
      <c r="AX77" s="19"/>
      <c r="AY77" s="19"/>
      <c r="AZ77" s="19"/>
      <c r="BA77" s="19"/>
      <c r="BB77" s="19"/>
      <c r="BC77" s="19"/>
      <c r="BD77" s="19"/>
      <c r="BE77" s="19"/>
      <c r="BF77" s="19"/>
      <c r="BG77" s="19"/>
      <c r="BH77" s="19"/>
      <c r="BI77" s="19"/>
      <c r="BJ77" s="19"/>
    </row>
    <row r="78" spans="3:62" s="1" customFormat="1" ht="12.75" customHeight="1">
      <c r="C78" s="19"/>
      <c r="D78" s="19"/>
      <c r="E78" s="19"/>
      <c r="F78" s="19"/>
      <c r="G78" s="19"/>
      <c r="H78" s="19"/>
      <c r="I78" s="19"/>
      <c r="J78" s="19"/>
      <c r="K78" s="19"/>
      <c r="L78" s="19"/>
      <c r="M78" s="19"/>
      <c r="N78" s="19"/>
      <c r="O78" s="19"/>
      <c r="P78" s="19"/>
      <c r="Q78" s="19"/>
      <c r="R78" s="19"/>
      <c r="S78" s="19"/>
      <c r="T78" s="19"/>
      <c r="U78" s="19"/>
      <c r="V78" s="19"/>
      <c r="W78" s="19"/>
      <c r="X78" s="19"/>
      <c r="Y78" s="19"/>
      <c r="Z78" s="19"/>
      <c r="AA78" s="19"/>
      <c r="AB78" s="19"/>
      <c r="AC78" s="19"/>
      <c r="AD78" s="46"/>
      <c r="AE78" s="46"/>
      <c r="AF78" s="46"/>
      <c r="AG78" s="46"/>
      <c r="AH78" s="46"/>
      <c r="AI78" s="46"/>
      <c r="AJ78" s="46"/>
      <c r="AK78" s="46"/>
      <c r="AL78" s="46"/>
      <c r="AM78" s="46"/>
      <c r="AN78" s="46"/>
      <c r="AO78" s="46"/>
      <c r="AP78" s="46"/>
      <c r="AQ78" s="46"/>
      <c r="AR78" s="46"/>
      <c r="AS78" s="46"/>
      <c r="AT78" s="19"/>
      <c r="AU78" s="19"/>
      <c r="AV78" s="19"/>
      <c r="AW78" s="19"/>
      <c r="AX78" s="19"/>
      <c r="AY78" s="19"/>
      <c r="AZ78" s="19"/>
      <c r="BA78" s="19"/>
      <c r="BB78" s="19"/>
      <c r="BC78" s="19"/>
      <c r="BD78" s="19"/>
      <c r="BE78" s="19"/>
      <c r="BF78" s="19"/>
      <c r="BG78" s="19"/>
      <c r="BH78" s="19"/>
      <c r="BI78" s="19"/>
      <c r="BJ78" s="19"/>
    </row>
    <row r="79" spans="3:62" s="1" customFormat="1" ht="12.75" customHeight="1">
      <c r="C79" s="19"/>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46"/>
      <c r="AE79" s="46"/>
      <c r="AF79" s="46"/>
      <c r="AG79" s="46"/>
      <c r="AH79" s="46"/>
      <c r="AI79" s="46"/>
      <c r="AJ79" s="46"/>
      <c r="AK79" s="46"/>
      <c r="AL79" s="46"/>
      <c r="AM79" s="46"/>
      <c r="AN79" s="46"/>
      <c r="AO79" s="46"/>
      <c r="AP79" s="46"/>
      <c r="AQ79" s="46"/>
      <c r="AR79" s="46"/>
      <c r="AS79" s="46"/>
      <c r="AT79" s="19"/>
      <c r="AU79" s="19"/>
      <c r="AV79" s="19"/>
      <c r="AW79" s="19"/>
      <c r="AX79" s="19"/>
      <c r="AY79" s="19"/>
      <c r="AZ79" s="19"/>
      <c r="BA79" s="19"/>
      <c r="BB79" s="19"/>
      <c r="BC79" s="19"/>
      <c r="BD79" s="19"/>
      <c r="BE79" s="19"/>
      <c r="BF79" s="19"/>
      <c r="BG79" s="19"/>
      <c r="BH79" s="19"/>
      <c r="BI79" s="19"/>
      <c r="BJ79" s="19"/>
    </row>
    <row r="80" spans="3:62" s="1" customFormat="1" ht="12.75" customHeight="1">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46"/>
      <c r="AE80" s="46"/>
      <c r="AF80" s="46"/>
      <c r="AG80" s="46"/>
      <c r="AH80" s="46"/>
      <c r="AI80" s="46"/>
      <c r="AJ80" s="46"/>
      <c r="AK80" s="46"/>
      <c r="AL80" s="46"/>
      <c r="AM80" s="46"/>
      <c r="AN80" s="46"/>
      <c r="AO80" s="46"/>
      <c r="AP80" s="46"/>
      <c r="AQ80" s="46"/>
      <c r="AR80" s="46"/>
      <c r="AS80" s="46"/>
      <c r="AT80" s="19"/>
      <c r="AU80" s="19"/>
      <c r="AV80" s="19"/>
      <c r="AW80" s="19"/>
      <c r="AX80" s="19"/>
      <c r="AY80" s="19"/>
      <c r="AZ80" s="19"/>
      <c r="BA80" s="19"/>
      <c r="BB80" s="19"/>
      <c r="BC80" s="19"/>
      <c r="BD80" s="19"/>
      <c r="BE80" s="19"/>
      <c r="BF80" s="19"/>
      <c r="BG80" s="19"/>
      <c r="BH80" s="19"/>
      <c r="BI80" s="19"/>
      <c r="BJ80" s="19"/>
    </row>
    <row r="81" spans="3:62" s="1" customFormat="1" ht="12.75" customHeight="1">
      <c r="C81" s="19"/>
      <c r="D81" s="19"/>
      <c r="E81" s="19"/>
      <c r="F81" s="19"/>
      <c r="G81" s="19"/>
      <c r="H81" s="19"/>
      <c r="I81" s="19"/>
      <c r="J81" s="19"/>
      <c r="K81" s="19"/>
      <c r="L81" s="19"/>
      <c r="M81" s="19"/>
      <c r="N81" s="19"/>
      <c r="O81" s="19"/>
      <c r="P81" s="19"/>
      <c r="Q81" s="19"/>
      <c r="R81" s="19"/>
      <c r="S81" s="19"/>
      <c r="T81" s="19"/>
      <c r="U81" s="19"/>
      <c r="V81" s="19"/>
      <c r="W81" s="19"/>
      <c r="X81" s="19"/>
      <c r="Y81" s="19"/>
      <c r="Z81" s="19"/>
      <c r="AA81" s="19"/>
      <c r="AB81" s="19"/>
      <c r="AC81" s="19"/>
      <c r="AD81" s="46"/>
      <c r="AE81" s="46"/>
      <c r="AF81" s="46"/>
      <c r="AG81" s="46"/>
      <c r="AH81" s="46"/>
      <c r="AI81" s="46"/>
      <c r="AJ81" s="46"/>
      <c r="AK81" s="46"/>
      <c r="AL81" s="46"/>
      <c r="AM81" s="46"/>
      <c r="AN81" s="46"/>
      <c r="AO81" s="46"/>
      <c r="AP81" s="46"/>
      <c r="AQ81" s="46"/>
      <c r="AR81" s="46"/>
      <c r="AS81" s="46"/>
      <c r="AT81" s="19"/>
      <c r="AU81" s="19"/>
      <c r="AV81" s="19"/>
      <c r="AW81" s="19"/>
      <c r="AX81" s="19"/>
      <c r="AY81" s="19"/>
      <c r="AZ81" s="19"/>
      <c r="BA81" s="19"/>
      <c r="BB81" s="19"/>
      <c r="BC81" s="19"/>
      <c r="BD81" s="19"/>
      <c r="BE81" s="19"/>
      <c r="BF81" s="19"/>
      <c r="BG81" s="19"/>
      <c r="BH81" s="19"/>
      <c r="BI81" s="19"/>
      <c r="BJ81" s="19"/>
    </row>
    <row r="82" spans="3:62" s="1" customFormat="1" ht="12.75" customHeight="1">
      <c r="C82" s="19"/>
      <c r="D82" s="19"/>
      <c r="E82" s="19"/>
      <c r="F82" s="19"/>
      <c r="G82" s="19"/>
      <c r="H82" s="19"/>
      <c r="I82" s="19"/>
      <c r="J82" s="19"/>
      <c r="K82" s="19"/>
      <c r="L82" s="19"/>
      <c r="M82" s="19"/>
      <c r="N82" s="19"/>
      <c r="O82" s="19"/>
      <c r="P82" s="19"/>
      <c r="Q82" s="19"/>
      <c r="R82" s="19"/>
      <c r="S82" s="19"/>
      <c r="T82" s="19"/>
      <c r="U82" s="19"/>
      <c r="V82" s="19"/>
      <c r="W82" s="19"/>
      <c r="X82" s="19"/>
      <c r="Y82" s="19"/>
      <c r="Z82" s="19"/>
      <c r="AA82" s="19"/>
      <c r="AB82" s="19"/>
      <c r="AC82" s="19"/>
      <c r="AD82" s="46"/>
      <c r="AE82" s="46"/>
      <c r="AF82" s="46"/>
      <c r="AG82" s="46"/>
      <c r="AH82" s="46"/>
      <c r="AI82" s="46"/>
      <c r="AJ82" s="46"/>
      <c r="AK82" s="46"/>
      <c r="AL82" s="46"/>
      <c r="AM82" s="46"/>
      <c r="AN82" s="46"/>
      <c r="AO82" s="46"/>
      <c r="AP82" s="46"/>
      <c r="AQ82" s="46"/>
      <c r="AR82" s="46"/>
      <c r="AS82" s="46"/>
      <c r="AT82" s="19"/>
      <c r="AU82" s="19"/>
      <c r="AV82" s="19"/>
      <c r="AW82" s="19"/>
      <c r="AX82" s="19"/>
      <c r="AY82" s="19"/>
      <c r="AZ82" s="19"/>
      <c r="BA82" s="19"/>
      <c r="BB82" s="19"/>
      <c r="BC82" s="19"/>
      <c r="BD82" s="19"/>
      <c r="BE82" s="19"/>
      <c r="BF82" s="19"/>
      <c r="BG82" s="19"/>
      <c r="BH82" s="19"/>
      <c r="BI82" s="19"/>
      <c r="BJ82" s="19"/>
    </row>
    <row r="83" spans="3:62" s="1" customFormat="1" ht="12.75" customHeight="1">
      <c r="C83" s="19"/>
      <c r="D83" s="19"/>
      <c r="E83" s="19"/>
      <c r="F83" s="19"/>
      <c r="G83" s="19"/>
      <c r="H83" s="19"/>
      <c r="I83" s="19"/>
      <c r="J83" s="19"/>
      <c r="K83" s="19"/>
      <c r="L83" s="19"/>
      <c r="M83" s="19"/>
      <c r="N83" s="19"/>
      <c r="O83" s="19"/>
      <c r="P83" s="19"/>
      <c r="Q83" s="19"/>
      <c r="R83" s="19"/>
      <c r="S83" s="19"/>
      <c r="T83" s="19"/>
      <c r="U83" s="19"/>
      <c r="V83" s="19"/>
      <c r="W83" s="19"/>
      <c r="X83" s="19"/>
      <c r="Y83" s="19"/>
      <c r="Z83" s="19"/>
      <c r="AA83" s="19"/>
      <c r="AB83" s="19"/>
      <c r="AC83" s="19"/>
      <c r="AD83" s="46"/>
      <c r="AE83" s="46"/>
      <c r="AF83" s="46"/>
      <c r="AG83" s="46"/>
      <c r="AH83" s="46"/>
      <c r="AI83" s="46"/>
      <c r="AJ83" s="46"/>
      <c r="AK83" s="46"/>
      <c r="AL83" s="46"/>
      <c r="AM83" s="46"/>
      <c r="AN83" s="46"/>
      <c r="AO83" s="46"/>
      <c r="AP83" s="46"/>
      <c r="AQ83" s="46"/>
      <c r="AR83" s="46"/>
      <c r="AS83" s="46"/>
      <c r="AT83" s="19"/>
      <c r="AU83" s="19"/>
      <c r="AV83" s="19"/>
      <c r="AW83" s="19"/>
      <c r="AX83" s="19"/>
      <c r="AY83" s="19"/>
      <c r="AZ83" s="19"/>
      <c r="BA83" s="19"/>
      <c r="BB83" s="19"/>
      <c r="BC83" s="19"/>
      <c r="BD83" s="19"/>
      <c r="BE83" s="19"/>
      <c r="BF83" s="19"/>
      <c r="BG83" s="19"/>
      <c r="BH83" s="19"/>
      <c r="BI83" s="19"/>
      <c r="BJ83" s="19"/>
    </row>
    <row r="84" spans="3:62" s="1" customFormat="1" ht="12.75" customHeight="1">
      <c r="C84" s="19"/>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46"/>
      <c r="AE84" s="46"/>
      <c r="AF84" s="46"/>
      <c r="AG84" s="46"/>
      <c r="AH84" s="46"/>
      <c r="AI84" s="46"/>
      <c r="AJ84" s="46"/>
      <c r="AK84" s="46"/>
      <c r="AL84" s="46"/>
      <c r="AM84" s="46"/>
      <c r="AN84" s="46"/>
      <c r="AO84" s="46"/>
      <c r="AP84" s="46"/>
      <c r="AQ84" s="46"/>
      <c r="AR84" s="46"/>
      <c r="AS84" s="46"/>
      <c r="AT84" s="19"/>
      <c r="AU84" s="19"/>
      <c r="AV84" s="19"/>
      <c r="AW84" s="19"/>
      <c r="AX84" s="19"/>
      <c r="AY84" s="19"/>
      <c r="AZ84" s="19"/>
      <c r="BA84" s="19"/>
      <c r="BB84" s="19"/>
      <c r="BC84" s="19"/>
      <c r="BD84" s="19"/>
      <c r="BE84" s="19"/>
      <c r="BF84" s="19"/>
      <c r="BG84" s="19"/>
      <c r="BH84" s="19"/>
      <c r="BI84" s="19"/>
      <c r="BJ84" s="19"/>
    </row>
    <row r="85" spans="3:62" s="1" customFormat="1" ht="12.75" customHeight="1">
      <c r="C85" s="19"/>
      <c r="D85" s="19"/>
      <c r="E85" s="19"/>
      <c r="F85" s="19"/>
      <c r="G85" s="19"/>
      <c r="H85" s="19"/>
      <c r="I85" s="19"/>
      <c r="J85" s="19"/>
      <c r="K85" s="19"/>
      <c r="L85" s="19"/>
      <c r="M85" s="19"/>
      <c r="N85" s="19"/>
      <c r="O85" s="19"/>
      <c r="P85" s="19"/>
      <c r="Q85" s="19"/>
      <c r="R85" s="19"/>
      <c r="S85" s="19"/>
      <c r="T85" s="19"/>
      <c r="U85" s="19"/>
      <c r="V85" s="19"/>
      <c r="W85" s="19"/>
      <c r="X85" s="19"/>
      <c r="Y85" s="19"/>
      <c r="Z85" s="19"/>
      <c r="AA85" s="19"/>
      <c r="AB85" s="19"/>
      <c r="AC85" s="19"/>
      <c r="AD85" s="46"/>
      <c r="AE85" s="46"/>
      <c r="AF85" s="46"/>
      <c r="AG85" s="46"/>
      <c r="AH85" s="46"/>
      <c r="AI85" s="46"/>
      <c r="AJ85" s="46"/>
      <c r="AK85" s="46"/>
      <c r="AL85" s="46"/>
      <c r="AM85" s="46"/>
      <c r="AN85" s="46"/>
      <c r="AO85" s="46"/>
      <c r="AP85" s="46"/>
      <c r="AQ85" s="46"/>
      <c r="AR85" s="46"/>
      <c r="AS85" s="46"/>
      <c r="AT85" s="19"/>
      <c r="AU85" s="19"/>
      <c r="AV85" s="19"/>
      <c r="AW85" s="19"/>
      <c r="AX85" s="19"/>
      <c r="AY85" s="19"/>
      <c r="AZ85" s="19"/>
      <c r="BA85" s="19"/>
      <c r="BB85" s="19"/>
      <c r="BC85" s="19"/>
      <c r="BD85" s="19"/>
      <c r="BE85" s="19"/>
      <c r="BF85" s="19"/>
      <c r="BG85" s="19"/>
      <c r="BH85" s="19"/>
      <c r="BI85" s="19"/>
      <c r="BJ85" s="19"/>
    </row>
    <row r="86" spans="3:62" s="1" customFormat="1" ht="12.75" customHeight="1">
      <c r="C86" s="19"/>
      <c r="D86" s="19"/>
      <c r="E86" s="19"/>
      <c r="F86" s="19"/>
      <c r="G86" s="19"/>
      <c r="H86" s="19"/>
      <c r="I86" s="19"/>
      <c r="J86" s="19"/>
      <c r="K86" s="19"/>
      <c r="L86" s="19"/>
      <c r="M86" s="19"/>
      <c r="N86" s="19"/>
      <c r="O86" s="19"/>
      <c r="P86" s="19"/>
      <c r="Q86" s="19"/>
      <c r="R86" s="19"/>
      <c r="S86" s="19"/>
      <c r="T86" s="19"/>
      <c r="U86" s="19"/>
      <c r="V86" s="19"/>
      <c r="W86" s="19"/>
      <c r="X86" s="19"/>
      <c r="Y86" s="19"/>
      <c r="Z86" s="19"/>
      <c r="AA86" s="19"/>
      <c r="AB86" s="19"/>
      <c r="AC86" s="19"/>
      <c r="AD86" s="46"/>
      <c r="AE86" s="46"/>
      <c r="AF86" s="46"/>
      <c r="AG86" s="46"/>
      <c r="AH86" s="46"/>
      <c r="AI86" s="46"/>
      <c r="AJ86" s="46"/>
      <c r="AK86" s="46"/>
      <c r="AL86" s="46"/>
      <c r="AM86" s="46"/>
      <c r="AN86" s="46"/>
      <c r="AO86" s="46"/>
      <c r="AP86" s="46"/>
      <c r="AQ86" s="46"/>
      <c r="AR86" s="46"/>
      <c r="AS86" s="46"/>
      <c r="AT86" s="19"/>
      <c r="AU86" s="19"/>
      <c r="AV86" s="19"/>
      <c r="AW86" s="19"/>
      <c r="AX86" s="19"/>
      <c r="AY86" s="19"/>
      <c r="AZ86" s="19"/>
      <c r="BA86" s="19"/>
      <c r="BB86" s="19"/>
      <c r="BC86" s="19"/>
      <c r="BD86" s="19"/>
      <c r="BE86" s="19"/>
      <c r="BF86" s="19"/>
      <c r="BG86" s="19"/>
      <c r="BH86" s="19"/>
      <c r="BI86" s="19"/>
      <c r="BJ86" s="19"/>
    </row>
    <row r="87" spans="3:62" s="1" customFormat="1" ht="12.75" customHeight="1">
      <c r="U87" s="19"/>
      <c r="V87" s="19"/>
      <c r="W87" s="19"/>
      <c r="X87" s="19"/>
      <c r="Y87" s="19"/>
      <c r="Z87" s="19"/>
      <c r="AA87" s="19"/>
      <c r="AB87" s="19"/>
      <c r="AC87" s="19"/>
      <c r="AD87" s="46"/>
      <c r="AE87" s="46"/>
      <c r="AF87" s="46"/>
      <c r="AG87" s="46"/>
      <c r="AH87" s="46"/>
      <c r="AI87" s="46"/>
      <c r="AJ87" s="46"/>
      <c r="AK87" s="46"/>
      <c r="AL87" s="46"/>
      <c r="AM87" s="46"/>
      <c r="AN87" s="46"/>
      <c r="AO87" s="46"/>
      <c r="AP87" s="46"/>
      <c r="AQ87" s="46"/>
      <c r="AR87" s="46"/>
      <c r="AS87" s="46"/>
      <c r="AT87" s="19"/>
      <c r="AU87" s="19"/>
      <c r="AV87" s="19"/>
      <c r="AW87" s="19"/>
      <c r="AX87" s="19"/>
      <c r="AY87" s="19"/>
      <c r="AZ87" s="19"/>
      <c r="BA87" s="19"/>
      <c r="BB87" s="19"/>
      <c r="BC87" s="19"/>
      <c r="BD87" s="19"/>
      <c r="BE87" s="19"/>
      <c r="BF87" s="19"/>
      <c r="BG87" s="19"/>
      <c r="BH87" s="19"/>
      <c r="BI87" s="19"/>
      <c r="BJ87" s="19"/>
    </row>
    <row r="88" spans="3:62" s="1" customFormat="1" ht="12.75" customHeight="1">
      <c r="U88" s="19"/>
      <c r="V88" s="19"/>
      <c r="W88" s="19"/>
      <c r="X88" s="19"/>
      <c r="Y88" s="19"/>
      <c r="Z88" s="19"/>
      <c r="AA88" s="19"/>
      <c r="AB88" s="19"/>
      <c r="AC88" s="19"/>
      <c r="AD88" s="46"/>
      <c r="AE88" s="46"/>
      <c r="AF88" s="46"/>
      <c r="AG88" s="46"/>
      <c r="AH88" s="46"/>
      <c r="AI88" s="46"/>
      <c r="AJ88" s="46"/>
      <c r="AK88" s="46"/>
      <c r="AL88" s="46"/>
      <c r="AM88" s="46"/>
      <c r="AN88" s="46"/>
      <c r="AO88" s="46"/>
      <c r="AP88" s="46"/>
      <c r="AQ88" s="46"/>
      <c r="AR88" s="46"/>
      <c r="AS88" s="46"/>
      <c r="AT88" s="19"/>
      <c r="AU88" s="19"/>
      <c r="AV88" s="19"/>
      <c r="AW88" s="19"/>
      <c r="AX88" s="19"/>
      <c r="AY88" s="19"/>
      <c r="AZ88" s="19"/>
      <c r="BA88" s="19"/>
      <c r="BB88" s="19"/>
      <c r="BC88" s="19"/>
      <c r="BD88" s="19"/>
      <c r="BE88" s="19"/>
      <c r="BF88" s="19"/>
      <c r="BG88" s="19"/>
      <c r="BH88" s="19"/>
      <c r="BI88" s="19"/>
      <c r="BJ88" s="19"/>
    </row>
    <row r="89" spans="3:62" s="1" customFormat="1" ht="12.75" customHeight="1">
      <c r="U89" s="19"/>
      <c r="V89" s="19"/>
      <c r="W89" s="19"/>
      <c r="X89" s="19"/>
      <c r="Y89" s="19"/>
      <c r="Z89" s="19"/>
      <c r="AA89" s="19"/>
      <c r="AB89" s="19"/>
      <c r="AC89" s="19"/>
      <c r="AD89" s="46"/>
      <c r="AE89" s="46"/>
      <c r="AF89" s="46"/>
      <c r="AG89" s="46"/>
      <c r="AH89" s="46"/>
      <c r="AI89" s="46"/>
      <c r="AJ89" s="46"/>
      <c r="AK89" s="46"/>
      <c r="AL89" s="46"/>
      <c r="AM89" s="46"/>
      <c r="AN89" s="46"/>
      <c r="AO89" s="46"/>
      <c r="AP89" s="46"/>
      <c r="AQ89" s="46"/>
      <c r="AR89" s="46"/>
      <c r="AS89" s="46"/>
      <c r="AT89" s="19"/>
      <c r="AU89" s="19"/>
      <c r="AV89" s="19"/>
      <c r="AW89" s="19"/>
      <c r="AX89" s="19"/>
      <c r="AY89" s="19"/>
      <c r="AZ89" s="19"/>
      <c r="BA89" s="19"/>
      <c r="BB89" s="19"/>
      <c r="BC89" s="19"/>
      <c r="BD89" s="19"/>
      <c r="BE89" s="19"/>
      <c r="BF89" s="19"/>
      <c r="BG89" s="19"/>
      <c r="BH89" s="19"/>
      <c r="BI89" s="19"/>
      <c r="BJ89" s="19"/>
    </row>
    <row r="90" spans="3:62" s="1" customFormat="1" ht="12.75" customHeight="1">
      <c r="U90" s="19"/>
      <c r="V90" s="19"/>
      <c r="W90" s="19"/>
      <c r="X90" s="19"/>
      <c r="Y90" s="19"/>
      <c r="Z90" s="19"/>
      <c r="AA90" s="19"/>
      <c r="AB90" s="19"/>
      <c r="AC90" s="19"/>
      <c r="AD90" s="46"/>
      <c r="AE90" s="46"/>
      <c r="AF90" s="46"/>
      <c r="AG90" s="46"/>
      <c r="AH90" s="46"/>
      <c r="AI90" s="46"/>
      <c r="AJ90" s="46"/>
      <c r="AK90" s="46"/>
      <c r="AL90" s="46"/>
      <c r="AM90" s="46"/>
      <c r="AN90" s="46"/>
      <c r="AO90" s="46"/>
      <c r="AP90" s="46"/>
      <c r="AQ90" s="46"/>
      <c r="AR90" s="46"/>
      <c r="AS90" s="46"/>
      <c r="AT90" s="19"/>
      <c r="AU90" s="19"/>
      <c r="AV90" s="19"/>
      <c r="AW90" s="19"/>
      <c r="AX90" s="19"/>
      <c r="AY90" s="19"/>
      <c r="AZ90" s="19"/>
      <c r="BA90" s="19"/>
      <c r="BB90" s="19"/>
      <c r="BC90" s="19"/>
      <c r="BD90" s="19"/>
      <c r="BE90" s="19"/>
      <c r="BF90" s="19"/>
      <c r="BG90" s="19"/>
      <c r="BH90" s="19"/>
      <c r="BI90" s="19"/>
      <c r="BJ90" s="19"/>
    </row>
    <row r="91" spans="3:62" s="1" customFormat="1" ht="12.75" customHeight="1">
      <c r="U91" s="19"/>
      <c r="V91" s="19"/>
      <c r="W91" s="19"/>
      <c r="X91" s="19"/>
      <c r="Y91" s="19"/>
      <c r="Z91" s="19"/>
      <c r="AA91" s="19"/>
      <c r="AB91" s="19"/>
      <c r="AC91" s="19"/>
      <c r="AD91" s="46"/>
      <c r="AE91" s="46"/>
      <c r="AF91" s="46"/>
      <c r="AG91" s="46"/>
      <c r="AH91" s="46"/>
      <c r="AI91" s="46"/>
      <c r="AJ91" s="46"/>
      <c r="AK91" s="46"/>
      <c r="AL91" s="46"/>
      <c r="AM91" s="46"/>
      <c r="AN91" s="46"/>
      <c r="AO91" s="46"/>
      <c r="AP91" s="46"/>
      <c r="AQ91" s="46"/>
      <c r="AR91" s="46"/>
      <c r="AS91" s="46"/>
      <c r="AT91" s="19"/>
      <c r="AU91" s="19"/>
      <c r="AV91" s="19"/>
      <c r="AW91" s="19"/>
      <c r="AX91" s="19"/>
      <c r="AY91" s="19"/>
      <c r="AZ91" s="19"/>
      <c r="BA91" s="19"/>
      <c r="BB91" s="19"/>
      <c r="BC91" s="19"/>
      <c r="BD91" s="19"/>
      <c r="BE91" s="19"/>
      <c r="BF91" s="19"/>
      <c r="BG91" s="19"/>
      <c r="BH91" s="19"/>
      <c r="BI91" s="19"/>
      <c r="BJ91" s="19"/>
    </row>
    <row r="92" spans="3:62" s="1" customFormat="1" ht="12.75" customHeight="1">
      <c r="U92" s="19"/>
      <c r="V92" s="19"/>
      <c r="W92" s="19"/>
      <c r="X92" s="19"/>
      <c r="Y92" s="19"/>
      <c r="Z92" s="19"/>
      <c r="AA92" s="19"/>
      <c r="AB92" s="19"/>
      <c r="AC92" s="19"/>
      <c r="AD92" s="46"/>
      <c r="AE92" s="46"/>
      <c r="AF92" s="46"/>
      <c r="AG92" s="46"/>
      <c r="AH92" s="46"/>
      <c r="AI92" s="46"/>
      <c r="AJ92" s="46"/>
      <c r="AK92" s="46"/>
      <c r="AL92" s="46"/>
      <c r="AM92" s="46"/>
      <c r="AN92" s="46"/>
      <c r="AO92" s="46"/>
      <c r="AP92" s="46"/>
      <c r="AQ92" s="46"/>
      <c r="AR92" s="46"/>
      <c r="AS92" s="46"/>
      <c r="AT92" s="19"/>
      <c r="AU92" s="19"/>
      <c r="AV92" s="19"/>
      <c r="AW92" s="19"/>
      <c r="AX92" s="19"/>
      <c r="AY92" s="19"/>
      <c r="AZ92" s="19"/>
      <c r="BA92" s="19"/>
      <c r="BB92" s="19"/>
      <c r="BC92" s="19"/>
      <c r="BD92" s="19"/>
      <c r="BE92" s="19"/>
      <c r="BF92" s="19"/>
      <c r="BG92" s="19"/>
      <c r="BH92" s="19"/>
      <c r="BI92" s="19"/>
      <c r="BJ92" s="19"/>
    </row>
    <row r="93" spans="3:62" s="1" customFormat="1" ht="12.75" customHeight="1">
      <c r="U93" s="19"/>
      <c r="V93" s="19"/>
      <c r="W93" s="19"/>
      <c r="X93" s="19"/>
      <c r="Y93" s="19"/>
      <c r="Z93" s="19"/>
      <c r="AA93" s="19"/>
      <c r="AB93" s="19"/>
      <c r="AC93" s="19"/>
      <c r="AD93" s="46"/>
      <c r="AE93" s="46"/>
      <c r="AF93" s="46"/>
      <c r="AG93" s="46"/>
      <c r="AH93" s="46"/>
      <c r="AI93" s="46"/>
      <c r="AJ93" s="46"/>
      <c r="AK93" s="46"/>
      <c r="AL93" s="46"/>
      <c r="AM93" s="46"/>
      <c r="AN93" s="46"/>
      <c r="AO93" s="46"/>
      <c r="AP93" s="46"/>
      <c r="AQ93" s="46"/>
      <c r="AR93" s="46"/>
      <c r="AS93" s="46"/>
      <c r="AT93" s="19"/>
      <c r="AU93" s="19"/>
      <c r="AV93" s="19"/>
      <c r="AW93" s="19"/>
      <c r="AX93" s="19"/>
      <c r="AY93" s="19"/>
      <c r="AZ93" s="19"/>
      <c r="BA93" s="19"/>
      <c r="BB93" s="19"/>
      <c r="BC93" s="19"/>
      <c r="BD93" s="19"/>
      <c r="BE93" s="19"/>
      <c r="BF93" s="19"/>
      <c r="BG93" s="19"/>
      <c r="BH93" s="19"/>
      <c r="BI93" s="19"/>
      <c r="BJ93" s="19"/>
    </row>
    <row r="94" spans="3:62" s="1" customFormat="1" ht="12.75" customHeight="1">
      <c r="U94" s="19"/>
      <c r="V94" s="19"/>
      <c r="W94" s="19"/>
      <c r="X94" s="19"/>
      <c r="Y94" s="19"/>
      <c r="Z94" s="19"/>
      <c r="AA94" s="19"/>
      <c r="AB94" s="19"/>
      <c r="AC94" s="19"/>
      <c r="AD94" s="46"/>
      <c r="AE94" s="46"/>
      <c r="AF94" s="46"/>
      <c r="AG94" s="46"/>
      <c r="AH94" s="46"/>
      <c r="AI94" s="46"/>
      <c r="AJ94" s="46"/>
      <c r="AK94" s="46"/>
      <c r="AL94" s="46"/>
      <c r="AM94" s="46"/>
      <c r="AN94" s="46"/>
      <c r="AO94" s="46"/>
      <c r="AP94" s="46"/>
      <c r="AQ94" s="46"/>
      <c r="AR94" s="46"/>
      <c r="AS94" s="46"/>
      <c r="AT94" s="19"/>
      <c r="AU94" s="19"/>
      <c r="AV94" s="19"/>
      <c r="AW94" s="19"/>
      <c r="AX94" s="19"/>
      <c r="AY94" s="19"/>
      <c r="AZ94" s="19"/>
      <c r="BA94" s="19"/>
      <c r="BB94" s="19"/>
      <c r="BC94" s="19"/>
      <c r="BD94" s="19"/>
      <c r="BE94" s="19"/>
      <c r="BF94" s="19"/>
      <c r="BG94" s="19"/>
      <c r="BH94" s="19"/>
      <c r="BI94" s="19"/>
      <c r="BJ94" s="19"/>
    </row>
    <row r="95" spans="3:62" s="1" customFormat="1" ht="12.75" customHeight="1">
      <c r="U95" s="19"/>
      <c r="V95" s="19"/>
      <c r="W95" s="19"/>
      <c r="X95" s="19"/>
      <c r="Y95" s="19"/>
      <c r="Z95" s="19"/>
      <c r="AA95" s="19"/>
      <c r="AB95" s="19"/>
      <c r="AC95" s="19"/>
      <c r="AD95" s="46"/>
      <c r="AE95" s="46"/>
      <c r="AF95" s="46"/>
      <c r="AG95" s="46"/>
      <c r="AH95" s="46"/>
      <c r="AI95" s="46"/>
      <c r="AJ95" s="46"/>
      <c r="AK95" s="46"/>
      <c r="AL95" s="46"/>
      <c r="AM95" s="46"/>
      <c r="AN95" s="46"/>
      <c r="AO95" s="46"/>
      <c r="AP95" s="46"/>
      <c r="AQ95" s="46"/>
      <c r="AR95" s="46"/>
      <c r="AS95" s="46"/>
      <c r="AT95" s="19"/>
      <c r="AU95" s="19"/>
      <c r="AV95" s="19"/>
      <c r="AW95" s="19"/>
      <c r="AX95" s="19"/>
      <c r="AY95" s="19"/>
      <c r="AZ95" s="19"/>
      <c r="BA95" s="19"/>
      <c r="BB95" s="19"/>
      <c r="BC95" s="19"/>
      <c r="BD95" s="19"/>
      <c r="BE95" s="19"/>
      <c r="BF95" s="19"/>
      <c r="BG95" s="19"/>
      <c r="BH95" s="19"/>
      <c r="BI95" s="19"/>
      <c r="BJ95" s="19"/>
    </row>
    <row r="96" spans="3:62" s="1" customFormat="1" ht="12.75" customHeight="1">
      <c r="U96" s="19"/>
      <c r="V96" s="19"/>
      <c r="W96" s="19"/>
      <c r="X96" s="19"/>
      <c r="Y96" s="19"/>
      <c r="Z96" s="19"/>
      <c r="AA96" s="19"/>
      <c r="AB96" s="19"/>
      <c r="AC96" s="19"/>
      <c r="AD96" s="46"/>
      <c r="AE96" s="46"/>
      <c r="AF96" s="46"/>
      <c r="AG96" s="46"/>
      <c r="AH96" s="46"/>
      <c r="AI96" s="46"/>
      <c r="AJ96" s="46"/>
      <c r="AK96" s="46"/>
      <c r="AL96" s="46"/>
      <c r="AM96" s="46"/>
      <c r="AN96" s="46"/>
      <c r="AO96" s="46"/>
      <c r="AP96" s="46"/>
      <c r="AQ96" s="46"/>
      <c r="AR96" s="46"/>
      <c r="AS96" s="46"/>
      <c r="AT96" s="19"/>
      <c r="AU96" s="19"/>
      <c r="AV96" s="19"/>
      <c r="AW96" s="19"/>
      <c r="AX96" s="19"/>
      <c r="AY96" s="19"/>
      <c r="AZ96" s="19"/>
      <c r="BA96" s="19"/>
      <c r="BB96" s="19"/>
      <c r="BC96" s="19"/>
      <c r="BD96" s="19"/>
      <c r="BE96" s="19"/>
      <c r="BF96" s="19"/>
      <c r="BG96" s="19"/>
      <c r="BH96" s="19"/>
      <c r="BI96" s="19"/>
      <c r="BJ96" s="19"/>
    </row>
    <row r="97" spans="21:62" s="1" customFormat="1" ht="12.75" customHeight="1">
      <c r="U97" s="19"/>
      <c r="V97" s="19"/>
      <c r="W97" s="19"/>
      <c r="X97" s="19"/>
      <c r="Y97" s="19"/>
      <c r="Z97" s="19"/>
      <c r="AA97" s="19"/>
      <c r="AB97" s="19"/>
      <c r="AC97" s="19"/>
      <c r="AD97" s="46"/>
      <c r="AE97" s="46"/>
      <c r="AF97" s="46"/>
      <c r="AG97" s="46"/>
      <c r="AH97" s="46"/>
      <c r="AI97" s="46"/>
      <c r="AJ97" s="46"/>
      <c r="AK97" s="46"/>
      <c r="AL97" s="46"/>
      <c r="AM97" s="46"/>
      <c r="AN97" s="46"/>
      <c r="AO97" s="46"/>
      <c r="AP97" s="46"/>
      <c r="AQ97" s="46"/>
      <c r="AR97" s="46"/>
      <c r="AS97" s="46"/>
      <c r="AT97" s="19"/>
      <c r="AU97" s="19"/>
      <c r="AV97" s="19"/>
      <c r="AW97" s="19"/>
      <c r="AX97" s="19"/>
      <c r="AY97" s="19"/>
      <c r="AZ97" s="19"/>
      <c r="BA97" s="19"/>
      <c r="BB97" s="19"/>
      <c r="BC97" s="19"/>
      <c r="BD97" s="19"/>
      <c r="BE97" s="19"/>
      <c r="BF97" s="19"/>
      <c r="BG97" s="19"/>
      <c r="BH97" s="19"/>
      <c r="BI97" s="19"/>
      <c r="BJ97" s="19"/>
    </row>
    <row r="98" spans="21:62" s="1" customFormat="1" ht="12.75" customHeight="1">
      <c r="U98" s="19"/>
      <c r="V98" s="19"/>
      <c r="W98" s="19"/>
      <c r="X98" s="19"/>
      <c r="Y98" s="19"/>
      <c r="Z98" s="19"/>
      <c r="AA98" s="19"/>
      <c r="AB98" s="19"/>
      <c r="AC98" s="19"/>
      <c r="AD98" s="46"/>
      <c r="AE98" s="46"/>
      <c r="AF98" s="46"/>
      <c r="AG98" s="46"/>
      <c r="AH98" s="46"/>
      <c r="AI98" s="46"/>
      <c r="AJ98" s="46"/>
      <c r="AK98" s="46"/>
      <c r="AL98" s="46"/>
      <c r="AM98" s="46"/>
      <c r="AN98" s="46"/>
      <c r="AO98" s="46"/>
      <c r="AP98" s="46"/>
      <c r="AQ98" s="46"/>
      <c r="AR98" s="46"/>
      <c r="AS98" s="46"/>
      <c r="AT98" s="19"/>
      <c r="AU98" s="19"/>
      <c r="AV98" s="19"/>
      <c r="AW98" s="19"/>
      <c r="AX98" s="19"/>
      <c r="AY98" s="19"/>
      <c r="AZ98" s="19"/>
      <c r="BA98" s="19"/>
      <c r="BB98" s="19"/>
      <c r="BC98" s="19"/>
      <c r="BD98" s="19"/>
      <c r="BE98" s="19"/>
      <c r="BF98" s="19"/>
      <c r="BG98" s="19"/>
      <c r="BH98" s="19"/>
      <c r="BI98" s="19"/>
      <c r="BJ98" s="19"/>
    </row>
    <row r="99" spans="21:62" s="1" customFormat="1" ht="12.75" customHeight="1">
      <c r="U99" s="19"/>
      <c r="V99" s="19"/>
      <c r="W99" s="19"/>
      <c r="X99" s="19"/>
      <c r="Y99" s="19"/>
      <c r="Z99" s="19"/>
      <c r="AA99" s="19"/>
      <c r="AB99" s="19"/>
      <c r="AC99" s="19"/>
      <c r="AD99" s="46"/>
      <c r="AE99" s="46"/>
      <c r="AF99" s="46"/>
      <c r="AG99" s="46"/>
      <c r="AH99" s="46"/>
      <c r="AI99" s="46"/>
      <c r="AJ99" s="46"/>
      <c r="AK99" s="46"/>
      <c r="AL99" s="46"/>
      <c r="AM99" s="46"/>
      <c r="AN99" s="46"/>
      <c r="AO99" s="46"/>
      <c r="AP99" s="46"/>
      <c r="AQ99" s="46"/>
      <c r="AR99" s="46"/>
      <c r="AS99" s="46"/>
      <c r="AT99" s="19"/>
      <c r="AU99" s="19"/>
      <c r="AV99" s="19"/>
      <c r="AW99" s="19"/>
      <c r="AX99" s="19"/>
      <c r="AY99" s="19"/>
      <c r="AZ99" s="19"/>
      <c r="BA99" s="19"/>
      <c r="BB99" s="19"/>
      <c r="BC99" s="19"/>
      <c r="BD99" s="19"/>
      <c r="BE99" s="19"/>
      <c r="BF99" s="19"/>
      <c r="BG99" s="19"/>
      <c r="BH99" s="19"/>
      <c r="BI99" s="19"/>
      <c r="BJ99" s="19"/>
    </row>
    <row r="100" spans="21:62" s="1" customFormat="1" ht="12.75" customHeight="1">
      <c r="U100" s="19"/>
      <c r="V100" s="19"/>
      <c r="W100" s="19"/>
      <c r="X100" s="19"/>
      <c r="Y100" s="19"/>
      <c r="Z100" s="19"/>
      <c r="AA100" s="19"/>
      <c r="AB100" s="19"/>
      <c r="AC100" s="19"/>
      <c r="AD100" s="46"/>
      <c r="AE100" s="46"/>
      <c r="AF100" s="46"/>
      <c r="AG100" s="46"/>
      <c r="AH100" s="46"/>
      <c r="AI100" s="46"/>
      <c r="AJ100" s="46"/>
      <c r="AK100" s="46"/>
      <c r="AL100" s="46"/>
      <c r="AM100" s="46"/>
      <c r="AN100" s="46"/>
      <c r="AO100" s="46"/>
      <c r="AP100" s="46"/>
      <c r="AQ100" s="46"/>
      <c r="AR100" s="46"/>
      <c r="AS100" s="46"/>
      <c r="AT100" s="19"/>
      <c r="AU100" s="19"/>
      <c r="AV100" s="19"/>
      <c r="AW100" s="19"/>
      <c r="AX100" s="19"/>
      <c r="AY100" s="19"/>
      <c r="AZ100" s="19"/>
      <c r="BA100" s="19"/>
      <c r="BB100" s="19"/>
      <c r="BC100" s="19"/>
      <c r="BD100" s="19"/>
      <c r="BE100" s="19"/>
      <c r="BF100" s="19"/>
      <c r="BG100" s="19"/>
      <c r="BH100" s="19"/>
      <c r="BI100" s="19"/>
      <c r="BJ100" s="19"/>
    </row>
    <row r="101" spans="21:62" s="1" customFormat="1" ht="12.75" customHeight="1">
      <c r="U101" s="19"/>
      <c r="V101" s="19"/>
      <c r="W101" s="19"/>
      <c r="X101" s="19"/>
      <c r="Y101" s="19"/>
      <c r="Z101" s="19"/>
      <c r="AA101" s="19"/>
      <c r="AB101" s="19"/>
      <c r="AC101" s="19"/>
      <c r="AD101" s="46"/>
      <c r="AE101" s="46"/>
      <c r="AF101" s="46"/>
      <c r="AG101" s="46"/>
      <c r="AH101" s="46"/>
      <c r="AI101" s="46"/>
      <c r="AJ101" s="46"/>
      <c r="AK101" s="46"/>
      <c r="AL101" s="46"/>
      <c r="AM101" s="46"/>
      <c r="AN101" s="46"/>
      <c r="AO101" s="46"/>
      <c r="AP101" s="46"/>
      <c r="AQ101" s="46"/>
      <c r="AR101" s="46"/>
      <c r="AS101" s="46"/>
      <c r="AT101" s="19"/>
      <c r="AU101" s="19"/>
      <c r="AV101" s="19"/>
      <c r="AW101" s="19"/>
      <c r="AX101" s="19"/>
      <c r="AY101" s="19"/>
      <c r="AZ101" s="19"/>
      <c r="BA101" s="19"/>
      <c r="BB101" s="19"/>
      <c r="BC101" s="19"/>
      <c r="BD101" s="19"/>
      <c r="BE101" s="19"/>
      <c r="BF101" s="19"/>
      <c r="BG101" s="19"/>
      <c r="BH101" s="19"/>
      <c r="BI101" s="19"/>
      <c r="BJ101" s="19"/>
    </row>
    <row r="102" spans="21:62" s="1" customFormat="1" ht="12.75" customHeight="1">
      <c r="U102" s="19"/>
      <c r="V102" s="19"/>
      <c r="W102" s="19"/>
      <c r="X102" s="19"/>
      <c r="Y102" s="19"/>
      <c r="Z102" s="19"/>
      <c r="AA102" s="19"/>
      <c r="AB102" s="19"/>
      <c r="AC102" s="19"/>
      <c r="AD102" s="46"/>
      <c r="AE102" s="46"/>
      <c r="AF102" s="46"/>
      <c r="AG102" s="46"/>
      <c r="AH102" s="46"/>
      <c r="AI102" s="46"/>
      <c r="AJ102" s="46"/>
      <c r="AK102" s="46"/>
      <c r="AL102" s="46"/>
      <c r="AM102" s="46"/>
      <c r="AN102" s="46"/>
      <c r="AO102" s="46"/>
      <c r="AP102" s="46"/>
      <c r="AQ102" s="46"/>
      <c r="AR102" s="46"/>
      <c r="AS102" s="46"/>
      <c r="AT102" s="19"/>
      <c r="AU102" s="19"/>
      <c r="AV102" s="19"/>
      <c r="AW102" s="19"/>
      <c r="AX102" s="19"/>
      <c r="AY102" s="19"/>
      <c r="AZ102" s="19"/>
      <c r="BA102" s="19"/>
      <c r="BB102" s="19"/>
      <c r="BC102" s="19"/>
      <c r="BD102" s="19"/>
      <c r="BE102" s="19"/>
      <c r="BF102" s="19"/>
      <c r="BG102" s="19"/>
      <c r="BH102" s="19"/>
      <c r="BI102" s="19"/>
      <c r="BJ102" s="19"/>
    </row>
    <row r="103" spans="21:62" s="1" customFormat="1" ht="12.75" customHeight="1">
      <c r="U103" s="19"/>
      <c r="V103" s="19"/>
      <c r="W103" s="19"/>
      <c r="X103" s="19"/>
      <c r="Y103" s="19"/>
      <c r="Z103" s="19"/>
      <c r="AA103" s="19"/>
      <c r="AB103" s="19"/>
      <c r="AC103" s="19"/>
      <c r="AD103" s="46"/>
      <c r="AE103" s="46"/>
      <c r="AF103" s="46"/>
      <c r="AG103" s="46"/>
      <c r="AH103" s="46"/>
      <c r="AI103" s="46"/>
      <c r="AJ103" s="46"/>
      <c r="AK103" s="46"/>
      <c r="AL103" s="46"/>
      <c r="AM103" s="46"/>
      <c r="AN103" s="46"/>
      <c r="AO103" s="46"/>
      <c r="AP103" s="46"/>
      <c r="AQ103" s="46"/>
      <c r="AR103" s="46"/>
      <c r="AS103" s="46"/>
      <c r="AT103" s="19"/>
      <c r="AU103" s="19"/>
      <c r="AV103" s="19"/>
      <c r="AW103" s="19"/>
      <c r="AX103" s="19"/>
      <c r="AY103" s="19"/>
      <c r="AZ103" s="19"/>
      <c r="BA103" s="19"/>
      <c r="BB103" s="19"/>
      <c r="BC103" s="19"/>
      <c r="BD103" s="19"/>
      <c r="BE103" s="19"/>
      <c r="BF103" s="19"/>
      <c r="BG103" s="19"/>
      <c r="BH103" s="19"/>
      <c r="BI103" s="19"/>
      <c r="BJ103" s="19"/>
    </row>
    <row r="104" spans="21:62" s="1" customFormat="1" ht="12.75" customHeight="1">
      <c r="U104" s="19"/>
      <c r="V104" s="19"/>
      <c r="W104" s="19"/>
      <c r="X104" s="19"/>
      <c r="Y104" s="19"/>
      <c r="Z104" s="19"/>
      <c r="AA104" s="19"/>
      <c r="AB104" s="19"/>
      <c r="AC104" s="19"/>
      <c r="AD104" s="46"/>
      <c r="AE104" s="46"/>
      <c r="AF104" s="46"/>
      <c r="AG104" s="46"/>
      <c r="AH104" s="46"/>
      <c r="AI104" s="46"/>
      <c r="AJ104" s="46"/>
      <c r="AK104" s="46"/>
      <c r="AL104" s="46"/>
      <c r="AM104" s="46"/>
      <c r="AN104" s="46"/>
      <c r="AO104" s="46"/>
      <c r="AP104" s="46"/>
      <c r="AQ104" s="46"/>
      <c r="AR104" s="46"/>
      <c r="AS104" s="46"/>
      <c r="AT104" s="19"/>
      <c r="AU104" s="19"/>
      <c r="AV104" s="19"/>
      <c r="AW104" s="19"/>
      <c r="AX104" s="19"/>
      <c r="AY104" s="19"/>
      <c r="AZ104" s="19"/>
      <c r="BA104" s="19"/>
      <c r="BB104" s="19"/>
      <c r="BC104" s="19"/>
      <c r="BD104" s="19"/>
      <c r="BE104" s="19"/>
      <c r="BF104" s="19"/>
      <c r="BG104" s="19"/>
      <c r="BH104" s="19"/>
      <c r="BI104" s="19"/>
      <c r="BJ104" s="19"/>
    </row>
    <row r="105" spans="21:62" s="1" customFormat="1" ht="12.75" customHeight="1">
      <c r="U105" s="19"/>
      <c r="V105" s="19"/>
      <c r="W105" s="19"/>
      <c r="X105" s="19"/>
      <c r="Y105" s="19"/>
      <c r="Z105" s="19"/>
      <c r="AA105" s="19"/>
      <c r="AB105" s="19"/>
      <c r="AC105" s="19"/>
      <c r="AD105" s="46"/>
      <c r="AE105" s="46"/>
      <c r="AF105" s="46"/>
      <c r="AG105" s="46"/>
      <c r="AH105" s="46"/>
      <c r="AI105" s="46"/>
      <c r="AJ105" s="46"/>
      <c r="AK105" s="46"/>
      <c r="AL105" s="46"/>
      <c r="AM105" s="46"/>
      <c r="AN105" s="46"/>
      <c r="AO105" s="46"/>
      <c r="AP105" s="46"/>
      <c r="AQ105" s="46"/>
      <c r="AR105" s="46"/>
      <c r="AS105" s="46"/>
      <c r="AT105" s="19"/>
      <c r="AU105" s="19"/>
      <c r="AV105" s="19"/>
      <c r="AW105" s="19"/>
      <c r="AX105" s="19"/>
      <c r="AY105" s="19"/>
      <c r="AZ105" s="19"/>
      <c r="BA105" s="19"/>
      <c r="BB105" s="19"/>
      <c r="BC105" s="19"/>
      <c r="BD105" s="19"/>
      <c r="BE105" s="19"/>
      <c r="BF105" s="19"/>
      <c r="BG105" s="19"/>
      <c r="BH105" s="19"/>
      <c r="BI105" s="19"/>
      <c r="BJ105" s="19"/>
    </row>
    <row r="106" spans="21:62" s="1" customFormat="1" ht="12.75" customHeight="1">
      <c r="U106" s="19"/>
      <c r="V106" s="19"/>
      <c r="W106" s="19"/>
      <c r="X106" s="19"/>
      <c r="Y106" s="19"/>
      <c r="Z106" s="19"/>
      <c r="AA106" s="19"/>
      <c r="AB106" s="19"/>
      <c r="AC106" s="19"/>
      <c r="AD106" s="46"/>
      <c r="AE106" s="46"/>
      <c r="AF106" s="46"/>
      <c r="AG106" s="46"/>
      <c r="AH106" s="46"/>
      <c r="AI106" s="46"/>
      <c r="AJ106" s="46"/>
      <c r="AK106" s="46"/>
      <c r="AL106" s="46"/>
      <c r="AM106" s="46"/>
      <c r="AN106" s="46"/>
      <c r="AO106" s="46"/>
      <c r="AP106" s="46"/>
      <c r="AQ106" s="46"/>
      <c r="AR106" s="46"/>
      <c r="AS106" s="46"/>
      <c r="AT106" s="19"/>
      <c r="AU106" s="19"/>
      <c r="AV106" s="19"/>
      <c r="AW106" s="19"/>
      <c r="AX106" s="19"/>
      <c r="AY106" s="19"/>
      <c r="AZ106" s="19"/>
      <c r="BA106" s="19"/>
      <c r="BB106" s="19"/>
      <c r="BC106" s="19"/>
      <c r="BD106" s="19"/>
      <c r="BE106" s="19"/>
      <c r="BF106" s="19"/>
      <c r="BG106" s="19"/>
      <c r="BH106" s="19"/>
      <c r="BI106" s="19"/>
      <c r="BJ106" s="19"/>
    </row>
    <row r="107" spans="21:62" s="1" customFormat="1" ht="12.75" customHeight="1">
      <c r="U107" s="19"/>
      <c r="V107" s="19"/>
      <c r="W107" s="19"/>
      <c r="X107" s="19"/>
      <c r="Y107" s="19"/>
      <c r="Z107" s="19"/>
      <c r="AA107" s="19"/>
      <c r="AB107" s="19"/>
      <c r="AC107" s="19"/>
      <c r="AD107" s="46"/>
      <c r="AE107" s="46"/>
      <c r="AF107" s="46"/>
      <c r="AG107" s="46"/>
      <c r="AH107" s="46"/>
      <c r="AI107" s="46"/>
      <c r="AJ107" s="46"/>
      <c r="AK107" s="46"/>
      <c r="AL107" s="46"/>
      <c r="AM107" s="46"/>
      <c r="AN107" s="46"/>
      <c r="AO107" s="46"/>
      <c r="AP107" s="46"/>
      <c r="AQ107" s="46"/>
      <c r="AR107" s="46"/>
      <c r="AS107" s="46"/>
      <c r="AT107" s="19"/>
      <c r="AU107" s="19"/>
      <c r="AV107" s="19"/>
      <c r="AW107" s="19"/>
      <c r="AX107" s="19"/>
      <c r="AY107" s="19"/>
      <c r="AZ107" s="19"/>
      <c r="BA107" s="19"/>
      <c r="BB107" s="19"/>
      <c r="BC107" s="19"/>
      <c r="BD107" s="19"/>
      <c r="BE107" s="19"/>
      <c r="BF107" s="19"/>
      <c r="BG107" s="19"/>
      <c r="BH107" s="19"/>
      <c r="BI107" s="19"/>
      <c r="BJ107" s="19"/>
    </row>
    <row r="108" spans="21:62" s="1" customFormat="1" ht="12.75" customHeight="1">
      <c r="U108" s="19"/>
      <c r="V108" s="19"/>
      <c r="W108" s="19"/>
      <c r="X108" s="19"/>
      <c r="Y108" s="19"/>
      <c r="Z108" s="19"/>
      <c r="AA108" s="19"/>
      <c r="AB108" s="19"/>
      <c r="AC108" s="19"/>
      <c r="AD108" s="46"/>
      <c r="AE108" s="46"/>
      <c r="AF108" s="46"/>
      <c r="AG108" s="46"/>
      <c r="AH108" s="46"/>
      <c r="AI108" s="46"/>
      <c r="AJ108" s="46"/>
      <c r="AK108" s="46"/>
      <c r="AL108" s="46"/>
      <c r="AM108" s="46"/>
      <c r="AN108" s="46"/>
      <c r="AO108" s="46"/>
      <c r="AP108" s="46"/>
      <c r="AQ108" s="46"/>
      <c r="AR108" s="46"/>
      <c r="AS108" s="46"/>
      <c r="AT108" s="19"/>
      <c r="AU108" s="19"/>
      <c r="AV108" s="19"/>
      <c r="AW108" s="19"/>
      <c r="AX108" s="19"/>
      <c r="AY108" s="19"/>
      <c r="AZ108" s="19"/>
      <c r="BA108" s="19"/>
      <c r="BB108" s="19"/>
      <c r="BC108" s="19"/>
      <c r="BD108" s="19"/>
      <c r="BE108" s="19"/>
      <c r="BF108" s="19"/>
      <c r="BG108" s="19"/>
      <c r="BH108" s="19"/>
      <c r="BI108" s="19"/>
      <c r="BJ108" s="19"/>
    </row>
    <row r="109" spans="21:62" s="1" customFormat="1" ht="12.75" customHeight="1">
      <c r="U109" s="19"/>
      <c r="V109" s="19"/>
      <c r="W109" s="19"/>
      <c r="X109" s="19"/>
      <c r="Y109" s="19"/>
      <c r="Z109" s="19"/>
      <c r="AA109" s="19"/>
      <c r="AB109" s="19"/>
      <c r="AC109" s="19"/>
      <c r="AD109" s="46"/>
      <c r="AE109" s="46"/>
      <c r="AF109" s="46"/>
      <c r="AG109" s="46"/>
      <c r="AH109" s="46"/>
      <c r="AI109" s="46"/>
      <c r="AJ109" s="46"/>
      <c r="AK109" s="46"/>
      <c r="AL109" s="46"/>
      <c r="AM109" s="46"/>
      <c r="AN109" s="46"/>
      <c r="AO109" s="46"/>
      <c r="AP109" s="46"/>
      <c r="AQ109" s="46"/>
      <c r="AR109" s="46"/>
      <c r="AS109" s="46"/>
      <c r="AT109" s="19"/>
      <c r="AU109" s="19"/>
      <c r="AV109" s="19"/>
      <c r="AW109" s="19"/>
      <c r="AX109" s="19"/>
      <c r="AY109" s="19"/>
      <c r="AZ109" s="19"/>
      <c r="BA109" s="19"/>
      <c r="BB109" s="19"/>
      <c r="BC109" s="19"/>
      <c r="BD109" s="19"/>
      <c r="BE109" s="19"/>
      <c r="BF109" s="19"/>
      <c r="BG109" s="19"/>
      <c r="BH109" s="19"/>
      <c r="BI109" s="19"/>
      <c r="BJ109" s="19"/>
    </row>
    <row r="110" spans="21:62" s="1" customFormat="1" ht="12.75" customHeight="1">
      <c r="U110" s="19"/>
      <c r="V110" s="19"/>
      <c r="W110" s="19"/>
      <c r="X110" s="19"/>
      <c r="Y110" s="19"/>
      <c r="Z110" s="19"/>
      <c r="AA110" s="19"/>
      <c r="AB110" s="19"/>
      <c r="AC110" s="19"/>
      <c r="AD110" s="46"/>
      <c r="AE110" s="46"/>
      <c r="AF110" s="46"/>
      <c r="AG110" s="46"/>
      <c r="AH110" s="46"/>
      <c r="AI110" s="46"/>
      <c r="AJ110" s="46"/>
      <c r="AK110" s="46"/>
      <c r="AL110" s="46"/>
      <c r="AM110" s="46"/>
      <c r="AN110" s="46"/>
      <c r="AO110" s="46"/>
      <c r="AP110" s="46"/>
      <c r="AQ110" s="46"/>
      <c r="AR110" s="46"/>
      <c r="AS110" s="46"/>
      <c r="AT110" s="19"/>
      <c r="AU110" s="19"/>
      <c r="AV110" s="19"/>
      <c r="AW110" s="19"/>
      <c r="AX110" s="19"/>
      <c r="AY110" s="19"/>
      <c r="AZ110" s="19"/>
      <c r="BA110" s="19"/>
      <c r="BB110" s="19"/>
      <c r="BC110" s="19"/>
      <c r="BD110" s="19"/>
      <c r="BE110" s="19"/>
      <c r="BF110" s="19"/>
      <c r="BG110" s="19"/>
      <c r="BH110" s="19"/>
      <c r="BI110" s="19"/>
      <c r="BJ110" s="19"/>
    </row>
    <row r="111" spans="21:62" s="1" customFormat="1" ht="12.75" customHeight="1">
      <c r="U111" s="19"/>
      <c r="V111" s="19"/>
      <c r="W111" s="19"/>
      <c r="X111" s="19"/>
      <c r="Y111" s="19"/>
      <c r="Z111" s="19"/>
      <c r="AA111" s="19"/>
      <c r="AB111" s="19"/>
      <c r="AC111" s="19"/>
      <c r="AD111" s="46"/>
      <c r="AE111" s="46"/>
      <c r="AF111" s="46"/>
      <c r="AG111" s="46"/>
      <c r="AH111" s="46"/>
      <c r="AI111" s="46"/>
      <c r="AJ111" s="46"/>
      <c r="AK111" s="46"/>
      <c r="AL111" s="46"/>
      <c r="AM111" s="46"/>
      <c r="AN111" s="46"/>
      <c r="AO111" s="46"/>
      <c r="AP111" s="46"/>
      <c r="AQ111" s="46"/>
      <c r="AR111" s="46"/>
      <c r="AS111" s="46"/>
      <c r="AT111" s="19"/>
      <c r="AU111" s="19"/>
      <c r="AV111" s="19"/>
      <c r="AW111" s="19"/>
      <c r="AX111" s="19"/>
      <c r="AY111" s="19"/>
      <c r="AZ111" s="19"/>
      <c r="BA111" s="19"/>
      <c r="BB111" s="19"/>
      <c r="BC111" s="19"/>
      <c r="BD111" s="19"/>
      <c r="BE111" s="19"/>
      <c r="BF111" s="19"/>
      <c r="BG111" s="19"/>
      <c r="BH111" s="19"/>
      <c r="BI111" s="19"/>
      <c r="BJ111" s="19"/>
    </row>
    <row r="112" spans="21:62" s="1" customFormat="1" ht="12.75" customHeight="1">
      <c r="U112" s="19"/>
      <c r="V112" s="19"/>
      <c r="W112" s="19"/>
      <c r="X112" s="19"/>
      <c r="Y112" s="19"/>
      <c r="Z112" s="19"/>
      <c r="AA112" s="19"/>
      <c r="AB112" s="19"/>
      <c r="AC112" s="19"/>
      <c r="AD112" s="46"/>
      <c r="AE112" s="46"/>
      <c r="AF112" s="46"/>
      <c r="AG112" s="46"/>
      <c r="AH112" s="46"/>
      <c r="AI112" s="46"/>
      <c r="AJ112" s="46"/>
      <c r="AK112" s="46"/>
      <c r="AL112" s="46"/>
      <c r="AM112" s="46"/>
      <c r="AN112" s="46"/>
      <c r="AO112" s="46"/>
      <c r="AP112" s="46"/>
      <c r="AQ112" s="46"/>
      <c r="AR112" s="46"/>
      <c r="AS112" s="46"/>
      <c r="AT112" s="19"/>
      <c r="AU112" s="19"/>
      <c r="AV112" s="19"/>
      <c r="AW112" s="19"/>
      <c r="AX112" s="19"/>
      <c r="AY112" s="19"/>
      <c r="AZ112" s="19"/>
      <c r="BA112" s="19"/>
      <c r="BB112" s="19"/>
      <c r="BC112" s="19"/>
      <c r="BD112" s="19"/>
      <c r="BE112" s="19"/>
      <c r="BF112" s="19"/>
      <c r="BG112" s="19"/>
      <c r="BH112" s="19"/>
      <c r="BI112" s="19"/>
      <c r="BJ112" s="19"/>
    </row>
    <row r="113" spans="21:62" s="1" customFormat="1" ht="12.75" customHeight="1">
      <c r="U113" s="19"/>
      <c r="V113" s="19"/>
      <c r="W113" s="19"/>
      <c r="X113" s="19"/>
      <c r="Y113" s="19"/>
      <c r="Z113" s="19"/>
      <c r="AA113" s="19"/>
      <c r="AB113" s="19"/>
      <c r="AC113" s="19"/>
      <c r="AD113" s="46"/>
      <c r="AE113" s="46"/>
      <c r="AF113" s="46"/>
      <c r="AG113" s="46"/>
      <c r="AH113" s="46"/>
      <c r="AI113" s="46"/>
      <c r="AJ113" s="46"/>
      <c r="AK113" s="46"/>
      <c r="AL113" s="46"/>
      <c r="AM113" s="46"/>
      <c r="AN113" s="46"/>
      <c r="AO113" s="46"/>
      <c r="AP113" s="46"/>
      <c r="AQ113" s="46"/>
      <c r="AR113" s="46"/>
      <c r="AS113" s="46"/>
      <c r="AT113" s="19"/>
      <c r="AU113" s="19"/>
      <c r="AV113" s="19"/>
      <c r="AW113" s="19"/>
      <c r="AX113" s="19"/>
      <c r="AY113" s="19"/>
      <c r="AZ113" s="19"/>
      <c r="BA113" s="19"/>
      <c r="BB113" s="19"/>
      <c r="BC113" s="19"/>
      <c r="BD113" s="19"/>
      <c r="BE113" s="19"/>
      <c r="BF113" s="19"/>
      <c r="BG113" s="19"/>
      <c r="BH113" s="19"/>
      <c r="BI113" s="19"/>
      <c r="BJ113" s="19"/>
    </row>
    <row r="114" spans="21:62" s="1" customFormat="1" ht="12.75" customHeight="1">
      <c r="U114" s="19"/>
      <c r="V114" s="19"/>
      <c r="W114" s="19"/>
      <c r="X114" s="19"/>
      <c r="Y114" s="19"/>
      <c r="Z114" s="19"/>
      <c r="AA114" s="19"/>
      <c r="AB114" s="19"/>
      <c r="AC114" s="19"/>
      <c r="AD114" s="46"/>
      <c r="AE114" s="46"/>
      <c r="AF114" s="46"/>
      <c r="AG114" s="46"/>
      <c r="AH114" s="46"/>
      <c r="AI114" s="46"/>
      <c r="AJ114" s="46"/>
      <c r="AK114" s="46"/>
      <c r="AL114" s="46"/>
      <c r="AM114" s="46"/>
      <c r="AN114" s="46"/>
      <c r="AO114" s="46"/>
      <c r="AP114" s="46"/>
      <c r="AQ114" s="46"/>
      <c r="AR114" s="46"/>
      <c r="AS114" s="46"/>
      <c r="AT114" s="19"/>
      <c r="AU114" s="19"/>
      <c r="AV114" s="19"/>
      <c r="AW114" s="19"/>
      <c r="AX114" s="19"/>
      <c r="AY114" s="19"/>
      <c r="AZ114" s="19"/>
      <c r="BA114" s="19"/>
      <c r="BB114" s="19"/>
      <c r="BC114" s="19"/>
      <c r="BD114" s="19"/>
      <c r="BE114" s="19"/>
      <c r="BF114" s="19"/>
      <c r="BG114" s="19"/>
      <c r="BH114" s="19"/>
      <c r="BI114" s="19"/>
      <c r="BJ114" s="19"/>
    </row>
    <row r="115" spans="21:62" s="1" customFormat="1" ht="12.75" customHeight="1">
      <c r="U115" s="19"/>
      <c r="V115" s="19"/>
      <c r="W115" s="19"/>
      <c r="X115" s="19"/>
      <c r="Y115" s="19"/>
      <c r="Z115" s="19"/>
      <c r="AA115" s="19"/>
      <c r="AB115" s="19"/>
      <c r="AC115" s="19"/>
      <c r="AD115" s="46"/>
      <c r="AE115" s="46"/>
      <c r="AF115" s="46"/>
      <c r="AG115" s="46"/>
      <c r="AH115" s="46"/>
      <c r="AI115" s="46"/>
      <c r="AJ115" s="46"/>
      <c r="AK115" s="46"/>
      <c r="AL115" s="46"/>
      <c r="AM115" s="46"/>
      <c r="AN115" s="46"/>
      <c r="AO115" s="46"/>
      <c r="AP115" s="46"/>
      <c r="AQ115" s="46"/>
      <c r="AR115" s="46"/>
      <c r="AS115" s="46"/>
      <c r="AT115" s="19"/>
      <c r="AU115" s="19"/>
      <c r="AV115" s="19"/>
      <c r="AW115" s="19"/>
      <c r="AX115" s="19"/>
      <c r="AY115" s="19"/>
      <c r="AZ115" s="19"/>
      <c r="BA115" s="19"/>
      <c r="BB115" s="19"/>
      <c r="BC115" s="19"/>
      <c r="BD115" s="19"/>
      <c r="BE115" s="19"/>
      <c r="BF115" s="19"/>
      <c r="BG115" s="19"/>
      <c r="BH115" s="19"/>
      <c r="BI115" s="19"/>
      <c r="BJ115" s="19"/>
    </row>
    <row r="116" spans="21:62" s="1" customFormat="1" ht="12.75" customHeight="1">
      <c r="U116" s="19"/>
      <c r="V116" s="19"/>
      <c r="W116" s="19"/>
      <c r="X116" s="19"/>
      <c r="Y116" s="19"/>
      <c r="Z116" s="19"/>
      <c r="AA116" s="19"/>
      <c r="AB116" s="19"/>
      <c r="AC116" s="19"/>
      <c r="AD116" s="46"/>
      <c r="AE116" s="46"/>
      <c r="AF116" s="46"/>
      <c r="AG116" s="46"/>
      <c r="AH116" s="46"/>
      <c r="AI116" s="46"/>
      <c r="AJ116" s="46"/>
      <c r="AK116" s="46"/>
      <c r="AL116" s="46"/>
      <c r="AM116" s="46"/>
      <c r="AN116" s="46"/>
      <c r="AO116" s="46"/>
      <c r="AP116" s="46"/>
      <c r="AQ116" s="46"/>
      <c r="AR116" s="46"/>
      <c r="AS116" s="46"/>
      <c r="AT116" s="19"/>
      <c r="AU116" s="19"/>
      <c r="AV116" s="19"/>
      <c r="AW116" s="19"/>
      <c r="AX116" s="19"/>
      <c r="AY116" s="19"/>
      <c r="AZ116" s="19"/>
      <c r="BA116" s="19"/>
      <c r="BB116" s="19"/>
      <c r="BC116" s="19"/>
      <c r="BD116" s="19"/>
      <c r="BE116" s="19"/>
      <c r="BF116" s="19"/>
      <c r="BG116" s="19"/>
      <c r="BH116" s="19"/>
      <c r="BI116" s="19"/>
      <c r="BJ116" s="19"/>
    </row>
    <row r="117" spans="21:62" s="1" customFormat="1" ht="12.75" customHeight="1">
      <c r="U117" s="19"/>
      <c r="V117" s="19"/>
      <c r="W117" s="19"/>
      <c r="X117" s="19"/>
      <c r="Y117" s="19"/>
      <c r="Z117" s="19"/>
      <c r="AA117" s="19"/>
      <c r="AB117" s="19"/>
      <c r="AC117" s="19"/>
      <c r="AD117" s="46"/>
      <c r="AE117" s="46"/>
      <c r="AF117" s="46"/>
      <c r="AG117" s="46"/>
      <c r="AH117" s="46"/>
      <c r="AI117" s="46"/>
      <c r="AJ117" s="46"/>
      <c r="AK117" s="46"/>
      <c r="AL117" s="46"/>
      <c r="AM117" s="46"/>
      <c r="AN117" s="46"/>
      <c r="AO117" s="46"/>
      <c r="AP117" s="46"/>
      <c r="AQ117" s="46"/>
      <c r="AR117" s="46"/>
      <c r="AS117" s="46"/>
      <c r="AT117" s="19"/>
      <c r="AU117" s="19"/>
      <c r="AV117" s="19"/>
      <c r="AW117" s="19"/>
      <c r="AX117" s="19"/>
      <c r="AY117" s="19"/>
      <c r="AZ117" s="19"/>
      <c r="BA117" s="19"/>
      <c r="BB117" s="19"/>
      <c r="BC117" s="19"/>
      <c r="BD117" s="19"/>
      <c r="BE117" s="19"/>
      <c r="BF117" s="19"/>
      <c r="BG117" s="19"/>
      <c r="BH117" s="19"/>
      <c r="BI117" s="19"/>
      <c r="BJ117" s="19"/>
    </row>
    <row r="118" spans="21:62" s="1" customFormat="1" ht="12.75" customHeight="1">
      <c r="U118" s="19"/>
      <c r="V118" s="19"/>
      <c r="W118" s="19"/>
      <c r="X118" s="19"/>
      <c r="Y118" s="19"/>
      <c r="Z118" s="19"/>
      <c r="AA118" s="19"/>
      <c r="AB118" s="19"/>
      <c r="AC118" s="19"/>
      <c r="AD118" s="46"/>
      <c r="AE118" s="46"/>
      <c r="AF118" s="46"/>
      <c r="AG118" s="46"/>
      <c r="AH118" s="46"/>
      <c r="AI118" s="46"/>
      <c r="AJ118" s="46"/>
      <c r="AK118" s="46"/>
      <c r="AL118" s="46"/>
      <c r="AM118" s="46"/>
      <c r="AN118" s="46"/>
      <c r="AO118" s="46"/>
      <c r="AP118" s="46"/>
      <c r="AQ118" s="46"/>
      <c r="AR118" s="46"/>
      <c r="AS118" s="46"/>
      <c r="AT118" s="19"/>
      <c r="AU118" s="19"/>
      <c r="AV118" s="19"/>
      <c r="AW118" s="19"/>
      <c r="AX118" s="19"/>
      <c r="AY118" s="19"/>
      <c r="AZ118" s="19"/>
      <c r="BA118" s="19"/>
      <c r="BB118" s="19"/>
      <c r="BC118" s="19"/>
      <c r="BD118" s="19"/>
      <c r="BE118" s="19"/>
      <c r="BF118" s="19"/>
      <c r="BG118" s="19"/>
      <c r="BH118" s="19"/>
      <c r="BI118" s="19"/>
      <c r="BJ118" s="19"/>
    </row>
    <row r="119" spans="21:62" s="1" customFormat="1" ht="12.75" customHeight="1">
      <c r="U119" s="19"/>
      <c r="V119" s="19"/>
      <c r="W119" s="19"/>
      <c r="X119" s="19"/>
      <c r="Y119" s="19"/>
      <c r="Z119" s="19"/>
      <c r="AA119" s="19"/>
      <c r="AB119" s="19"/>
      <c r="AC119" s="19"/>
      <c r="AD119" s="46"/>
      <c r="AE119" s="46"/>
      <c r="AF119" s="46"/>
      <c r="AG119" s="46"/>
      <c r="AH119" s="46"/>
      <c r="AI119" s="46"/>
      <c r="AJ119" s="46"/>
      <c r="AK119" s="46"/>
      <c r="AL119" s="46"/>
      <c r="AM119" s="46"/>
      <c r="AN119" s="46"/>
      <c r="AO119" s="46"/>
      <c r="AP119" s="46"/>
      <c r="AQ119" s="46"/>
      <c r="AR119" s="46"/>
      <c r="AS119" s="46"/>
      <c r="AT119" s="19"/>
      <c r="AU119" s="19"/>
      <c r="AV119" s="19"/>
      <c r="AW119" s="19"/>
      <c r="AX119" s="19"/>
      <c r="AY119" s="19"/>
      <c r="AZ119" s="19"/>
      <c r="BA119" s="19"/>
      <c r="BB119" s="19"/>
      <c r="BC119" s="19"/>
      <c r="BD119" s="19"/>
      <c r="BE119" s="19"/>
      <c r="BF119" s="19"/>
      <c r="BG119" s="19"/>
      <c r="BH119" s="19"/>
      <c r="BI119" s="19"/>
      <c r="BJ119" s="19"/>
    </row>
    <row r="120" spans="21:62" s="1" customFormat="1" ht="12.75" customHeight="1">
      <c r="U120" s="19"/>
      <c r="V120" s="19"/>
      <c r="W120" s="19"/>
      <c r="X120" s="19"/>
      <c r="Y120" s="19"/>
      <c r="Z120" s="19"/>
      <c r="AA120" s="19"/>
      <c r="AB120" s="19"/>
      <c r="AC120" s="19"/>
      <c r="AD120" s="46"/>
      <c r="AE120" s="46"/>
      <c r="AF120" s="46"/>
      <c r="AG120" s="46"/>
      <c r="AH120" s="46"/>
      <c r="AI120" s="46"/>
      <c r="AJ120" s="46"/>
      <c r="AK120" s="46"/>
      <c r="AL120" s="46"/>
      <c r="AM120" s="46"/>
      <c r="AN120" s="46"/>
      <c r="AO120" s="46"/>
      <c r="AP120" s="46"/>
      <c r="AQ120" s="46"/>
      <c r="AR120" s="46"/>
      <c r="AS120" s="46"/>
      <c r="AT120" s="19"/>
      <c r="AU120" s="19"/>
      <c r="AV120" s="19"/>
      <c r="AW120" s="19"/>
      <c r="AX120" s="19"/>
      <c r="AY120" s="19"/>
      <c r="AZ120" s="19"/>
      <c r="BA120" s="19"/>
      <c r="BB120" s="19"/>
      <c r="BC120" s="19"/>
      <c r="BD120" s="19"/>
      <c r="BE120" s="19"/>
      <c r="BF120" s="19"/>
      <c r="BG120" s="19"/>
      <c r="BH120" s="19"/>
      <c r="BI120" s="19"/>
      <c r="BJ120" s="19"/>
    </row>
    <row r="121" spans="21:62" s="1" customFormat="1" ht="12.75" customHeight="1">
      <c r="U121" s="19"/>
      <c r="V121" s="19"/>
      <c r="W121" s="19"/>
      <c r="X121" s="19"/>
      <c r="Y121" s="19"/>
      <c r="Z121" s="19"/>
      <c r="AA121" s="19"/>
      <c r="AB121" s="19"/>
      <c r="AC121" s="19"/>
      <c r="AD121" s="46"/>
      <c r="AE121" s="46"/>
      <c r="AF121" s="46"/>
      <c r="AG121" s="46"/>
      <c r="AH121" s="46"/>
      <c r="AI121" s="46"/>
      <c r="AJ121" s="46"/>
      <c r="AK121" s="46"/>
      <c r="AL121" s="46"/>
      <c r="AM121" s="46"/>
      <c r="AN121" s="46"/>
      <c r="AO121" s="46"/>
      <c r="AP121" s="46"/>
      <c r="AQ121" s="46"/>
      <c r="AR121" s="46"/>
      <c r="AS121" s="46"/>
      <c r="AT121" s="19"/>
      <c r="AU121" s="19"/>
      <c r="AV121" s="19"/>
      <c r="AW121" s="19"/>
      <c r="AX121" s="19"/>
      <c r="AY121" s="19"/>
      <c r="AZ121" s="19"/>
      <c r="BA121" s="19"/>
      <c r="BB121" s="19"/>
      <c r="BC121" s="19"/>
      <c r="BD121" s="19"/>
      <c r="BE121" s="19"/>
      <c r="BF121" s="19"/>
      <c r="BG121" s="19"/>
      <c r="BH121" s="19"/>
      <c r="BI121" s="19"/>
      <c r="BJ121" s="19"/>
    </row>
    <row r="122" spans="21:62" s="1" customFormat="1" ht="12.75" customHeight="1">
      <c r="U122" s="19"/>
      <c r="V122" s="19"/>
      <c r="W122" s="19"/>
      <c r="X122" s="19"/>
      <c r="Y122" s="19"/>
      <c r="Z122" s="19"/>
      <c r="AA122" s="19"/>
      <c r="AB122" s="19"/>
      <c r="AC122" s="19"/>
      <c r="AD122" s="46"/>
      <c r="AE122" s="46"/>
      <c r="AF122" s="46"/>
      <c r="AG122" s="46"/>
      <c r="AH122" s="46"/>
      <c r="AI122" s="46"/>
      <c r="AJ122" s="46"/>
      <c r="AK122" s="46"/>
      <c r="AL122" s="46"/>
      <c r="AM122" s="46"/>
      <c r="AN122" s="46"/>
      <c r="AO122" s="46"/>
      <c r="AP122" s="46"/>
      <c r="AQ122" s="46"/>
      <c r="AR122" s="46"/>
      <c r="AS122" s="46"/>
      <c r="AT122" s="19"/>
      <c r="AU122" s="19"/>
      <c r="AV122" s="19"/>
      <c r="AW122" s="19"/>
      <c r="AX122" s="19"/>
      <c r="AY122" s="19"/>
      <c r="AZ122" s="19"/>
      <c r="BA122" s="19"/>
      <c r="BB122" s="19"/>
      <c r="BC122" s="19"/>
      <c r="BD122" s="19"/>
      <c r="BE122" s="19"/>
      <c r="BF122" s="19"/>
      <c r="BG122" s="19"/>
      <c r="BH122" s="19"/>
      <c r="BI122" s="19"/>
      <c r="BJ122" s="19"/>
    </row>
    <row r="123" spans="21:62" s="1" customFormat="1" ht="12.75" customHeight="1">
      <c r="U123" s="19"/>
      <c r="V123" s="19"/>
      <c r="W123" s="19"/>
      <c r="X123" s="19"/>
      <c r="Y123" s="19"/>
      <c r="Z123" s="19"/>
      <c r="AA123" s="19"/>
      <c r="AB123" s="19"/>
      <c r="AC123" s="19"/>
      <c r="AD123" s="46"/>
      <c r="AE123" s="46"/>
      <c r="AF123" s="46"/>
      <c r="AG123" s="46"/>
      <c r="AH123" s="46"/>
      <c r="AI123" s="46"/>
      <c r="AJ123" s="46"/>
      <c r="AK123" s="46"/>
      <c r="AL123" s="46"/>
      <c r="AM123" s="46"/>
      <c r="AN123" s="46"/>
      <c r="AO123" s="46"/>
      <c r="AP123" s="46"/>
      <c r="AQ123" s="46"/>
      <c r="AR123" s="46"/>
      <c r="AS123" s="46"/>
      <c r="AT123" s="19"/>
      <c r="AU123" s="19"/>
      <c r="AV123" s="19"/>
      <c r="AW123" s="19"/>
      <c r="AX123" s="19"/>
      <c r="AY123" s="19"/>
      <c r="AZ123" s="19"/>
      <c r="BA123" s="19"/>
      <c r="BB123" s="19"/>
      <c r="BC123" s="19"/>
      <c r="BD123" s="19"/>
      <c r="BE123" s="19"/>
      <c r="BF123" s="19"/>
      <c r="BG123" s="19"/>
      <c r="BH123" s="19"/>
      <c r="BI123" s="19"/>
      <c r="BJ123" s="19"/>
    </row>
    <row r="124" spans="21:62" s="1" customFormat="1" ht="12.75" customHeight="1">
      <c r="U124" s="19"/>
      <c r="V124" s="19"/>
      <c r="W124" s="19"/>
      <c r="X124" s="19"/>
      <c r="Y124" s="19"/>
      <c r="Z124" s="19"/>
      <c r="AA124" s="19"/>
      <c r="AB124" s="19"/>
      <c r="AC124" s="19"/>
      <c r="AD124" s="46"/>
      <c r="AE124" s="46"/>
      <c r="AF124" s="46"/>
      <c r="AG124" s="46"/>
      <c r="AH124" s="46"/>
      <c r="AI124" s="46"/>
      <c r="AJ124" s="46"/>
      <c r="AK124" s="46"/>
      <c r="AL124" s="46"/>
      <c r="AM124" s="46"/>
      <c r="AN124" s="46"/>
      <c r="AO124" s="46"/>
      <c r="AP124" s="46"/>
      <c r="AQ124" s="46"/>
      <c r="AR124" s="46"/>
      <c r="AS124" s="46"/>
      <c r="AT124" s="19"/>
      <c r="AU124" s="19"/>
      <c r="AV124" s="19"/>
      <c r="AW124" s="19"/>
      <c r="AX124" s="19"/>
      <c r="AY124" s="19"/>
      <c r="AZ124" s="19"/>
      <c r="BA124" s="19"/>
      <c r="BB124" s="19"/>
      <c r="BC124" s="19"/>
      <c r="BD124" s="19"/>
      <c r="BE124" s="19"/>
      <c r="BF124" s="19"/>
      <c r="BG124" s="19"/>
      <c r="BH124" s="19"/>
      <c r="BI124" s="19"/>
      <c r="BJ124" s="19"/>
    </row>
    <row r="125" spans="21:62" s="1" customFormat="1" ht="12.75" customHeight="1">
      <c r="U125" s="19"/>
      <c r="V125" s="19"/>
      <c r="W125" s="19"/>
      <c r="X125" s="19"/>
      <c r="Y125" s="19"/>
      <c r="Z125" s="19"/>
      <c r="AA125" s="19"/>
      <c r="AB125" s="19"/>
      <c r="AC125" s="19"/>
      <c r="AD125" s="46"/>
      <c r="AE125" s="46"/>
      <c r="AF125" s="46"/>
      <c r="AG125" s="46"/>
      <c r="AH125" s="46"/>
      <c r="AI125" s="46"/>
      <c r="AJ125" s="46"/>
      <c r="AK125" s="46"/>
      <c r="AL125" s="46"/>
      <c r="AM125" s="46"/>
      <c r="AN125" s="46"/>
      <c r="AO125" s="46"/>
      <c r="AP125" s="46"/>
      <c r="AQ125" s="46"/>
      <c r="AR125" s="46"/>
      <c r="AS125" s="46"/>
      <c r="AT125" s="19"/>
      <c r="AU125" s="19"/>
      <c r="AV125" s="19"/>
      <c r="AW125" s="19"/>
      <c r="AX125" s="19"/>
      <c r="AY125" s="19"/>
      <c r="AZ125" s="19"/>
      <c r="BA125" s="19"/>
      <c r="BB125" s="19"/>
      <c r="BC125" s="19"/>
      <c r="BD125" s="19"/>
      <c r="BE125" s="19"/>
      <c r="BF125" s="19"/>
      <c r="BG125" s="19"/>
      <c r="BH125" s="19"/>
      <c r="BI125" s="19"/>
      <c r="BJ125" s="19"/>
    </row>
    <row r="126" spans="21:62" s="1" customFormat="1" ht="12.75" customHeight="1">
      <c r="U126" s="19"/>
      <c r="V126" s="19"/>
      <c r="W126" s="19"/>
      <c r="X126" s="19"/>
      <c r="Y126" s="19"/>
      <c r="Z126" s="19"/>
      <c r="AA126" s="19"/>
      <c r="AB126" s="19"/>
      <c r="AC126" s="19"/>
      <c r="AD126" s="46"/>
      <c r="AE126" s="46"/>
      <c r="AF126" s="46"/>
      <c r="AG126" s="46"/>
      <c r="AH126" s="46"/>
      <c r="AI126" s="46"/>
      <c r="AJ126" s="46"/>
      <c r="AK126" s="46"/>
      <c r="AL126" s="46"/>
      <c r="AM126" s="46"/>
      <c r="AN126" s="46"/>
      <c r="AO126" s="46"/>
      <c r="AP126" s="46"/>
      <c r="AQ126" s="46"/>
      <c r="AR126" s="46"/>
      <c r="AS126" s="46"/>
      <c r="AT126" s="19"/>
      <c r="AU126" s="19"/>
      <c r="AV126" s="19"/>
      <c r="AW126" s="19"/>
      <c r="AX126" s="19"/>
      <c r="AY126" s="19"/>
      <c r="AZ126" s="19"/>
      <c r="BA126" s="19"/>
      <c r="BB126" s="19"/>
      <c r="BC126" s="19"/>
      <c r="BD126" s="19"/>
      <c r="BE126" s="19"/>
      <c r="BF126" s="19"/>
      <c r="BG126" s="19"/>
      <c r="BH126" s="19"/>
      <c r="BI126" s="19"/>
      <c r="BJ126" s="19"/>
    </row>
    <row r="127" spans="21:62" s="1" customFormat="1" ht="12.75" customHeight="1">
      <c r="U127" s="19"/>
      <c r="V127" s="19"/>
      <c r="W127" s="19"/>
      <c r="X127" s="19"/>
      <c r="Y127" s="19"/>
      <c r="Z127" s="19"/>
      <c r="AA127" s="19"/>
      <c r="AB127" s="19"/>
      <c r="AC127" s="19"/>
      <c r="AD127" s="46"/>
      <c r="AE127" s="46"/>
      <c r="AF127" s="46"/>
      <c r="AG127" s="46"/>
      <c r="AH127" s="46"/>
      <c r="AI127" s="46"/>
      <c r="AJ127" s="46"/>
      <c r="AK127" s="46"/>
      <c r="AL127" s="46"/>
      <c r="AM127" s="46"/>
      <c r="AN127" s="46"/>
      <c r="AO127" s="46"/>
      <c r="AP127" s="46"/>
      <c r="AQ127" s="46"/>
      <c r="AR127" s="46"/>
      <c r="AS127" s="46"/>
      <c r="AT127" s="19"/>
      <c r="AU127" s="19"/>
      <c r="AV127" s="19"/>
      <c r="AW127" s="19"/>
      <c r="AX127" s="19"/>
      <c r="AY127" s="19"/>
      <c r="AZ127" s="19"/>
      <c r="BA127" s="19"/>
      <c r="BB127" s="19"/>
      <c r="BC127" s="19"/>
      <c r="BD127" s="19"/>
      <c r="BE127" s="19"/>
      <c r="BF127" s="19"/>
      <c r="BG127" s="19"/>
      <c r="BH127" s="19"/>
      <c r="BI127" s="19"/>
      <c r="BJ127" s="19"/>
    </row>
    <row r="128" spans="21:62" s="1" customFormat="1" ht="12.75" customHeight="1">
      <c r="U128" s="19"/>
      <c r="V128" s="19"/>
      <c r="W128" s="19"/>
      <c r="X128" s="19"/>
      <c r="Y128" s="19"/>
      <c r="Z128" s="19"/>
      <c r="AA128" s="19"/>
      <c r="AB128" s="19"/>
      <c r="AC128" s="19"/>
      <c r="AD128" s="46"/>
      <c r="AE128" s="46"/>
      <c r="AF128" s="46"/>
      <c r="AG128" s="46"/>
      <c r="AH128" s="46"/>
      <c r="AI128" s="46"/>
      <c r="AJ128" s="46"/>
      <c r="AK128" s="46"/>
      <c r="AL128" s="46"/>
      <c r="AM128" s="46"/>
      <c r="AN128" s="46"/>
      <c r="AO128" s="46"/>
      <c r="AP128" s="46"/>
      <c r="AQ128" s="46"/>
      <c r="AR128" s="46"/>
      <c r="AS128" s="46"/>
      <c r="AT128" s="19"/>
      <c r="AU128" s="19"/>
      <c r="AV128" s="19"/>
      <c r="AW128" s="19"/>
      <c r="AX128" s="19"/>
      <c r="AY128" s="19"/>
      <c r="AZ128" s="19"/>
      <c r="BA128" s="19"/>
      <c r="BB128" s="19"/>
      <c r="BC128" s="19"/>
      <c r="BD128" s="19"/>
      <c r="BE128" s="19"/>
      <c r="BF128" s="19"/>
      <c r="BG128" s="19"/>
      <c r="BH128" s="19"/>
      <c r="BI128" s="19"/>
      <c r="BJ128" s="19"/>
    </row>
    <row r="129" spans="21:62" s="1" customFormat="1" ht="12.75" customHeight="1">
      <c r="U129" s="19"/>
      <c r="V129" s="19"/>
      <c r="W129" s="19"/>
      <c r="X129" s="19"/>
      <c r="Y129" s="19"/>
      <c r="Z129" s="19"/>
      <c r="AA129" s="19"/>
      <c r="AB129" s="19"/>
      <c r="AC129" s="19"/>
      <c r="AD129" s="46"/>
      <c r="AE129" s="46"/>
      <c r="AF129" s="46"/>
      <c r="AG129" s="46"/>
      <c r="AH129" s="46"/>
      <c r="AI129" s="46"/>
      <c r="AJ129" s="46"/>
      <c r="AK129" s="46"/>
      <c r="AL129" s="46"/>
      <c r="AM129" s="46"/>
      <c r="AN129" s="46"/>
      <c r="AO129" s="46"/>
      <c r="AP129" s="46"/>
      <c r="AQ129" s="46"/>
      <c r="AR129" s="46"/>
      <c r="AS129" s="46"/>
      <c r="AT129" s="19"/>
      <c r="AU129" s="19"/>
      <c r="AV129" s="19"/>
      <c r="AW129" s="19"/>
      <c r="AX129" s="19"/>
      <c r="AY129" s="19"/>
      <c r="AZ129" s="19"/>
      <c r="BA129" s="19"/>
      <c r="BB129" s="19"/>
      <c r="BC129" s="19"/>
      <c r="BD129" s="19"/>
      <c r="BE129" s="19"/>
      <c r="BF129" s="19"/>
      <c r="BG129" s="19"/>
      <c r="BH129" s="19"/>
      <c r="BI129" s="19"/>
      <c r="BJ129" s="19"/>
    </row>
    <row r="130" spans="21:62" s="1" customFormat="1" ht="12.75" customHeight="1">
      <c r="U130" s="19"/>
      <c r="V130" s="19"/>
      <c r="W130" s="19"/>
      <c r="X130" s="19"/>
      <c r="Y130" s="19"/>
      <c r="Z130" s="19"/>
      <c r="AA130" s="19"/>
      <c r="AB130" s="19"/>
      <c r="AC130" s="19"/>
      <c r="AD130" s="46"/>
      <c r="AE130" s="46"/>
      <c r="AF130" s="46"/>
      <c r="AG130" s="46"/>
      <c r="AH130" s="46"/>
      <c r="AI130" s="46"/>
      <c r="AJ130" s="46"/>
      <c r="AK130" s="46"/>
      <c r="AL130" s="46"/>
      <c r="AM130" s="46"/>
      <c r="AN130" s="46"/>
      <c r="AO130" s="46"/>
      <c r="AP130" s="46"/>
      <c r="AQ130" s="46"/>
      <c r="AR130" s="46"/>
      <c r="AS130" s="46"/>
      <c r="AT130" s="19"/>
      <c r="AU130" s="19"/>
      <c r="AV130" s="19"/>
      <c r="AW130" s="19"/>
      <c r="AX130" s="19"/>
      <c r="AY130" s="19"/>
      <c r="AZ130" s="19"/>
      <c r="BA130" s="19"/>
      <c r="BB130" s="19"/>
      <c r="BC130" s="19"/>
      <c r="BD130" s="19"/>
      <c r="BE130" s="19"/>
      <c r="BF130" s="19"/>
      <c r="BG130" s="19"/>
      <c r="BH130" s="19"/>
      <c r="BI130" s="19"/>
      <c r="BJ130" s="19"/>
    </row>
    <row r="131" spans="21:62" s="1" customFormat="1" ht="12.75" customHeight="1">
      <c r="U131" s="19"/>
      <c r="V131" s="19"/>
      <c r="W131" s="19"/>
      <c r="X131" s="19"/>
      <c r="Y131" s="19"/>
      <c r="Z131" s="19"/>
      <c r="AA131" s="19"/>
      <c r="AB131" s="19"/>
      <c r="AC131" s="19"/>
      <c r="AD131" s="46"/>
      <c r="AE131" s="46"/>
      <c r="AF131" s="46"/>
      <c r="AG131" s="46"/>
      <c r="AH131" s="46"/>
      <c r="AI131" s="46"/>
      <c r="AJ131" s="46"/>
      <c r="AK131" s="46"/>
      <c r="AL131" s="46"/>
      <c r="AM131" s="46"/>
      <c r="AN131" s="46"/>
      <c r="AO131" s="46"/>
      <c r="AP131" s="46"/>
      <c r="AQ131" s="46"/>
      <c r="AR131" s="46"/>
      <c r="AS131" s="46"/>
      <c r="AT131" s="19"/>
      <c r="AU131" s="19"/>
      <c r="AV131" s="19"/>
      <c r="AW131" s="19"/>
      <c r="AX131" s="19"/>
      <c r="AY131" s="19"/>
      <c r="AZ131" s="19"/>
      <c r="BA131" s="19"/>
      <c r="BB131" s="19"/>
      <c r="BC131" s="19"/>
      <c r="BD131" s="19"/>
      <c r="BE131" s="19"/>
      <c r="BF131" s="19"/>
      <c r="BG131" s="19"/>
      <c r="BH131" s="19"/>
      <c r="BI131" s="19"/>
      <c r="BJ131" s="19"/>
    </row>
    <row r="132" spans="21:62" s="1" customFormat="1" ht="12.75" customHeight="1">
      <c r="U132" s="19"/>
      <c r="V132" s="19"/>
      <c r="W132" s="19"/>
      <c r="X132" s="19"/>
      <c r="Y132" s="19"/>
      <c r="Z132" s="19"/>
      <c r="AA132" s="19"/>
      <c r="AB132" s="19"/>
      <c r="AC132" s="19"/>
      <c r="AD132" s="46"/>
      <c r="AE132" s="46"/>
      <c r="AF132" s="46"/>
      <c r="AG132" s="46"/>
      <c r="AH132" s="46"/>
      <c r="AI132" s="46"/>
      <c r="AJ132" s="46"/>
      <c r="AK132" s="46"/>
      <c r="AL132" s="46"/>
      <c r="AM132" s="46"/>
      <c r="AN132" s="46"/>
      <c r="AO132" s="46"/>
      <c r="AP132" s="46"/>
      <c r="AQ132" s="46"/>
      <c r="AR132" s="46"/>
      <c r="AS132" s="46"/>
      <c r="AT132" s="19"/>
      <c r="AU132" s="19"/>
      <c r="AV132" s="19"/>
      <c r="AW132" s="19"/>
      <c r="AX132" s="19"/>
      <c r="AY132" s="19"/>
      <c r="AZ132" s="19"/>
      <c r="BA132" s="19"/>
      <c r="BB132" s="19"/>
      <c r="BC132" s="19"/>
      <c r="BD132" s="19"/>
      <c r="BE132" s="19"/>
      <c r="BF132" s="19"/>
      <c r="BG132" s="19"/>
      <c r="BH132" s="19"/>
      <c r="BI132" s="19"/>
      <c r="BJ132" s="19"/>
    </row>
    <row r="133" spans="21:62" s="1" customFormat="1" ht="12.75" customHeight="1">
      <c r="U133" s="19"/>
      <c r="V133" s="19"/>
      <c r="W133" s="19"/>
      <c r="X133" s="19"/>
      <c r="Y133" s="19"/>
      <c r="Z133" s="19"/>
      <c r="AA133" s="19"/>
      <c r="AB133" s="19"/>
      <c r="AC133" s="19"/>
      <c r="AD133" s="46"/>
      <c r="AE133" s="46"/>
      <c r="AF133" s="46"/>
      <c r="AG133" s="46"/>
      <c r="AH133" s="46"/>
      <c r="AI133" s="46"/>
      <c r="AJ133" s="46"/>
      <c r="AK133" s="46"/>
      <c r="AL133" s="46"/>
      <c r="AM133" s="46"/>
      <c r="AN133" s="46"/>
      <c r="AO133" s="46"/>
      <c r="AP133" s="46"/>
      <c r="AQ133" s="46"/>
      <c r="AR133" s="46"/>
      <c r="AS133" s="46"/>
      <c r="AT133" s="19"/>
      <c r="AU133" s="19"/>
      <c r="AV133" s="19"/>
      <c r="AW133" s="19"/>
      <c r="AX133" s="19"/>
      <c r="AY133" s="19"/>
      <c r="AZ133" s="19"/>
      <c r="BA133" s="19"/>
      <c r="BB133" s="19"/>
      <c r="BC133" s="19"/>
      <c r="BD133" s="19"/>
      <c r="BE133" s="19"/>
      <c r="BF133" s="19"/>
      <c r="BG133" s="19"/>
      <c r="BH133" s="19"/>
      <c r="BI133" s="19"/>
      <c r="BJ133" s="19"/>
    </row>
    <row r="134" spans="21:62" s="1" customFormat="1" ht="12.75" customHeight="1">
      <c r="U134" s="19"/>
      <c r="V134" s="19"/>
      <c r="W134" s="19"/>
      <c r="X134" s="19"/>
      <c r="Y134" s="19"/>
      <c r="Z134" s="19"/>
      <c r="AA134" s="19"/>
      <c r="AB134" s="19"/>
      <c r="AC134" s="19"/>
      <c r="AD134" s="46"/>
      <c r="AE134" s="46"/>
      <c r="AF134" s="46"/>
      <c r="AG134" s="46"/>
      <c r="AH134" s="46"/>
      <c r="AI134" s="46"/>
      <c r="AJ134" s="46"/>
      <c r="AK134" s="46"/>
      <c r="AL134" s="46"/>
      <c r="AM134" s="46"/>
      <c r="AN134" s="46"/>
      <c r="AO134" s="46"/>
      <c r="AP134" s="46"/>
      <c r="AQ134" s="46"/>
      <c r="AR134" s="46"/>
      <c r="AS134" s="46"/>
      <c r="AT134" s="19"/>
      <c r="AU134" s="19"/>
      <c r="AV134" s="19"/>
      <c r="AW134" s="19"/>
      <c r="AX134" s="19"/>
      <c r="AY134" s="19"/>
      <c r="AZ134" s="19"/>
      <c r="BA134" s="19"/>
      <c r="BB134" s="19"/>
      <c r="BC134" s="19"/>
      <c r="BD134" s="19"/>
      <c r="BE134" s="19"/>
      <c r="BF134" s="19"/>
      <c r="BG134" s="19"/>
      <c r="BH134" s="19"/>
      <c r="BI134" s="19"/>
      <c r="BJ134" s="19"/>
    </row>
    <row r="135" spans="21:62" s="1" customFormat="1" ht="12.75" customHeight="1">
      <c r="U135" s="19"/>
      <c r="V135" s="19"/>
      <c r="W135" s="19"/>
      <c r="X135" s="19"/>
      <c r="Y135" s="19"/>
      <c r="Z135" s="19"/>
      <c r="AA135" s="19"/>
      <c r="AB135" s="19"/>
      <c r="AC135" s="19"/>
      <c r="AD135" s="46"/>
      <c r="AE135" s="46"/>
      <c r="AF135" s="46"/>
      <c r="AG135" s="46"/>
      <c r="AH135" s="46"/>
      <c r="AI135" s="46"/>
      <c r="AJ135" s="46"/>
      <c r="AK135" s="46"/>
      <c r="AL135" s="46"/>
      <c r="AM135" s="46"/>
      <c r="AN135" s="46"/>
      <c r="AO135" s="46"/>
      <c r="AP135" s="46"/>
      <c r="AQ135" s="46"/>
      <c r="AR135" s="46"/>
      <c r="AS135" s="46"/>
      <c r="AT135" s="19"/>
      <c r="AU135" s="19"/>
      <c r="AV135" s="19"/>
      <c r="AW135" s="19"/>
      <c r="AX135" s="19"/>
      <c r="AY135" s="19"/>
      <c r="AZ135" s="19"/>
      <c r="BA135" s="19"/>
      <c r="BB135" s="19"/>
      <c r="BC135" s="19"/>
      <c r="BD135" s="19"/>
      <c r="BE135" s="19"/>
      <c r="BF135" s="19"/>
      <c r="BG135" s="19"/>
      <c r="BH135" s="19"/>
      <c r="BI135" s="19"/>
      <c r="BJ135" s="19"/>
    </row>
    <row r="136" spans="21:62" s="1" customFormat="1" ht="12.75" customHeight="1">
      <c r="U136" s="19"/>
      <c r="V136" s="19"/>
      <c r="W136" s="19"/>
      <c r="X136" s="19"/>
      <c r="Y136" s="19"/>
      <c r="Z136" s="19"/>
      <c r="AA136" s="19"/>
      <c r="AB136" s="19"/>
      <c r="AC136" s="19"/>
      <c r="AD136" s="46"/>
      <c r="AE136" s="46"/>
      <c r="AF136" s="46"/>
      <c r="AG136" s="46"/>
      <c r="AH136" s="46"/>
      <c r="AI136" s="46"/>
      <c r="AJ136" s="46"/>
      <c r="AK136" s="46"/>
      <c r="AL136" s="46"/>
      <c r="AM136" s="46"/>
      <c r="AN136" s="46"/>
      <c r="AO136" s="46"/>
      <c r="AP136" s="46"/>
      <c r="AQ136" s="46"/>
      <c r="AR136" s="46"/>
      <c r="AS136" s="46"/>
      <c r="AT136" s="19"/>
      <c r="AU136" s="19"/>
      <c r="AV136" s="19"/>
      <c r="AW136" s="19"/>
      <c r="AX136" s="19"/>
      <c r="AY136" s="19"/>
      <c r="AZ136" s="19"/>
      <c r="BA136" s="19"/>
      <c r="BB136" s="19"/>
      <c r="BC136" s="19"/>
      <c r="BD136" s="19"/>
      <c r="BE136" s="19"/>
      <c r="BF136" s="19"/>
      <c r="BG136" s="19"/>
      <c r="BH136" s="19"/>
      <c r="BI136" s="19"/>
      <c r="BJ136" s="19"/>
    </row>
    <row r="137" spans="21:62" s="1" customFormat="1" ht="12.75" customHeight="1">
      <c r="U137" s="19"/>
      <c r="V137" s="19"/>
      <c r="W137" s="19"/>
      <c r="X137" s="19"/>
      <c r="Y137" s="19"/>
      <c r="Z137" s="19"/>
      <c r="AA137" s="19"/>
      <c r="AB137" s="19"/>
      <c r="AC137" s="19"/>
      <c r="AD137" s="46"/>
      <c r="AE137" s="46"/>
      <c r="AF137" s="46"/>
      <c r="AG137" s="46"/>
      <c r="AH137" s="46"/>
      <c r="AI137" s="46"/>
      <c r="AJ137" s="46"/>
      <c r="AK137" s="46"/>
      <c r="AL137" s="46"/>
      <c r="AM137" s="46"/>
      <c r="AN137" s="46"/>
      <c r="AO137" s="46"/>
      <c r="AP137" s="46"/>
      <c r="AQ137" s="46"/>
      <c r="AR137" s="46"/>
      <c r="AS137" s="46"/>
      <c r="AT137" s="19"/>
      <c r="AU137" s="19"/>
      <c r="AV137" s="19"/>
      <c r="AW137" s="19"/>
      <c r="AX137" s="19"/>
      <c r="AY137" s="19"/>
      <c r="AZ137" s="19"/>
      <c r="BA137" s="19"/>
      <c r="BB137" s="19"/>
      <c r="BC137" s="19"/>
      <c r="BD137" s="19"/>
      <c r="BE137" s="19"/>
      <c r="BF137" s="19"/>
      <c r="BG137" s="19"/>
      <c r="BH137" s="19"/>
      <c r="BI137" s="19"/>
      <c r="BJ137" s="19"/>
    </row>
    <row r="138" spans="21:62" s="1" customFormat="1" ht="12.75" customHeight="1">
      <c r="U138" s="19"/>
      <c r="V138" s="19"/>
      <c r="W138" s="19"/>
      <c r="X138" s="19"/>
      <c r="Y138" s="19"/>
      <c r="Z138" s="19"/>
      <c r="AA138" s="19"/>
      <c r="AB138" s="19"/>
      <c r="AC138" s="19"/>
      <c r="AD138" s="46"/>
      <c r="AE138" s="46"/>
      <c r="AF138" s="46"/>
      <c r="AG138" s="46"/>
      <c r="AH138" s="46"/>
      <c r="AI138" s="46"/>
      <c r="AJ138" s="46"/>
      <c r="AK138" s="46"/>
      <c r="AL138" s="46"/>
      <c r="AM138" s="46"/>
      <c r="AN138" s="46"/>
      <c r="AO138" s="46"/>
      <c r="AP138" s="46"/>
      <c r="AQ138" s="46"/>
      <c r="AR138" s="46"/>
      <c r="AS138" s="46"/>
      <c r="AT138" s="19"/>
      <c r="AU138" s="19"/>
      <c r="AV138" s="19"/>
      <c r="AW138" s="19"/>
      <c r="AX138" s="19"/>
      <c r="AY138" s="19"/>
      <c r="AZ138" s="19"/>
      <c r="BA138" s="19"/>
      <c r="BB138" s="19"/>
      <c r="BC138" s="19"/>
      <c r="BD138" s="19"/>
      <c r="BE138" s="19"/>
      <c r="BF138" s="19"/>
      <c r="BG138" s="19"/>
      <c r="BH138" s="19"/>
      <c r="BI138" s="19"/>
      <c r="BJ138" s="19"/>
    </row>
    <row r="139" spans="21:62" s="1" customFormat="1" ht="12.75" customHeight="1">
      <c r="U139" s="19"/>
      <c r="V139" s="19"/>
      <c r="W139" s="19"/>
      <c r="X139" s="19"/>
      <c r="Y139" s="19"/>
      <c r="Z139" s="19"/>
      <c r="AA139" s="19"/>
      <c r="AB139" s="19"/>
      <c r="AC139" s="19"/>
      <c r="AD139" s="46"/>
      <c r="AE139" s="46"/>
      <c r="AF139" s="46"/>
      <c r="AG139" s="46"/>
      <c r="AH139" s="46"/>
      <c r="AI139" s="46"/>
      <c r="AJ139" s="46"/>
      <c r="AK139" s="46"/>
      <c r="AL139" s="46"/>
      <c r="AM139" s="46"/>
      <c r="AN139" s="46"/>
      <c r="AO139" s="46"/>
      <c r="AP139" s="46"/>
      <c r="AQ139" s="46"/>
      <c r="AR139" s="46"/>
      <c r="AS139" s="46"/>
      <c r="AT139" s="19"/>
      <c r="AU139" s="19"/>
      <c r="AV139" s="19"/>
      <c r="AW139" s="19"/>
      <c r="AX139" s="19"/>
      <c r="AY139" s="19"/>
      <c r="AZ139" s="19"/>
      <c r="BA139" s="19"/>
      <c r="BB139" s="19"/>
      <c r="BC139" s="19"/>
      <c r="BD139" s="19"/>
      <c r="BE139" s="19"/>
      <c r="BF139" s="19"/>
      <c r="BG139" s="19"/>
      <c r="BH139" s="19"/>
      <c r="BI139" s="19"/>
      <c r="BJ139" s="19"/>
    </row>
    <row r="140" spans="21:62" s="1" customFormat="1" ht="12.75" customHeight="1">
      <c r="U140" s="19"/>
      <c r="V140" s="19"/>
      <c r="W140" s="19"/>
      <c r="X140" s="19"/>
      <c r="Y140" s="19"/>
      <c r="Z140" s="19"/>
      <c r="AA140" s="19"/>
      <c r="AB140" s="19"/>
      <c r="AC140" s="19"/>
      <c r="AD140" s="46"/>
      <c r="AE140" s="46"/>
      <c r="AF140" s="46"/>
      <c r="AG140" s="46"/>
      <c r="AH140" s="46"/>
      <c r="AI140" s="46"/>
      <c r="AJ140" s="46"/>
      <c r="AK140" s="46"/>
      <c r="AL140" s="46"/>
      <c r="AM140" s="46"/>
      <c r="AN140" s="46"/>
      <c r="AO140" s="46"/>
      <c r="AP140" s="46"/>
      <c r="AQ140" s="46"/>
      <c r="AR140" s="46"/>
      <c r="AS140" s="46"/>
      <c r="AT140" s="19"/>
      <c r="AU140" s="19"/>
      <c r="AV140" s="19"/>
      <c r="AW140" s="19"/>
      <c r="AX140" s="19"/>
      <c r="AY140" s="19"/>
      <c r="AZ140" s="19"/>
      <c r="BA140" s="19"/>
      <c r="BB140" s="19"/>
      <c r="BC140" s="19"/>
      <c r="BD140" s="19"/>
      <c r="BE140" s="19"/>
      <c r="BF140" s="19"/>
      <c r="BG140" s="19"/>
      <c r="BH140" s="19"/>
      <c r="BI140" s="19"/>
      <c r="BJ140" s="19"/>
    </row>
    <row r="141" spans="21:62" s="1" customFormat="1" ht="12.75" customHeight="1">
      <c r="U141" s="19"/>
      <c r="V141" s="19"/>
      <c r="W141" s="19"/>
      <c r="X141" s="19"/>
      <c r="Y141" s="19"/>
      <c r="Z141" s="19"/>
      <c r="AA141" s="19"/>
      <c r="AB141" s="19"/>
      <c r="AC141" s="19"/>
      <c r="AD141" s="46"/>
      <c r="AE141" s="46"/>
      <c r="AF141" s="46"/>
      <c r="AG141" s="46"/>
      <c r="AH141" s="46"/>
      <c r="AI141" s="46"/>
      <c r="AJ141" s="46"/>
      <c r="AK141" s="46"/>
      <c r="AL141" s="46"/>
      <c r="AM141" s="46"/>
      <c r="AN141" s="46"/>
      <c r="AO141" s="46"/>
      <c r="AP141" s="46"/>
      <c r="AQ141" s="46"/>
      <c r="AR141" s="46"/>
      <c r="AS141" s="46"/>
      <c r="AT141" s="19"/>
      <c r="AU141" s="19"/>
      <c r="AV141" s="19"/>
      <c r="AW141" s="19"/>
      <c r="AX141" s="19"/>
      <c r="AY141" s="19"/>
      <c r="AZ141" s="19"/>
      <c r="BA141" s="19"/>
      <c r="BB141" s="19"/>
      <c r="BC141" s="19"/>
      <c r="BD141" s="19"/>
      <c r="BE141" s="19"/>
      <c r="BF141" s="19"/>
      <c r="BG141" s="19"/>
      <c r="BH141" s="19"/>
      <c r="BI141" s="19"/>
      <c r="BJ141" s="19"/>
    </row>
    <row r="142" spans="21:62" s="1" customFormat="1" ht="12.75" customHeight="1">
      <c r="U142" s="19"/>
      <c r="V142" s="19"/>
      <c r="W142" s="19"/>
      <c r="X142" s="19"/>
      <c r="Y142" s="19"/>
      <c r="Z142" s="19"/>
      <c r="AA142" s="19"/>
      <c r="AB142" s="19"/>
      <c r="AC142" s="19"/>
      <c r="AD142" s="46"/>
      <c r="AE142" s="46"/>
      <c r="AF142" s="46"/>
      <c r="AG142" s="46"/>
      <c r="AH142" s="46"/>
      <c r="AI142" s="46"/>
      <c r="AJ142" s="46"/>
      <c r="AK142" s="46"/>
      <c r="AL142" s="46"/>
      <c r="AM142" s="46"/>
      <c r="AN142" s="46"/>
      <c r="AO142" s="46"/>
      <c r="AP142" s="46"/>
      <c r="AQ142" s="46"/>
      <c r="AR142" s="46"/>
      <c r="AS142" s="46"/>
      <c r="AT142" s="19"/>
      <c r="AU142" s="19"/>
      <c r="AV142" s="19"/>
      <c r="AW142" s="19"/>
      <c r="AX142" s="19"/>
      <c r="AY142" s="19"/>
      <c r="AZ142" s="19"/>
      <c r="BA142" s="19"/>
      <c r="BB142" s="19"/>
      <c r="BC142" s="19"/>
      <c r="BD142" s="19"/>
      <c r="BE142" s="19"/>
      <c r="BF142" s="19"/>
      <c r="BG142" s="19"/>
      <c r="BH142" s="19"/>
      <c r="BI142" s="19"/>
      <c r="BJ142" s="19"/>
    </row>
    <row r="143" spans="21:62" s="1" customFormat="1" ht="12.75" customHeight="1">
      <c r="U143" s="19"/>
      <c r="V143" s="19"/>
      <c r="W143" s="19"/>
      <c r="X143" s="19"/>
      <c r="Y143" s="19"/>
      <c r="Z143" s="19"/>
      <c r="AA143" s="19"/>
      <c r="AB143" s="19"/>
      <c r="AC143" s="19"/>
      <c r="AD143" s="46"/>
      <c r="AE143" s="46"/>
      <c r="AF143" s="46"/>
      <c r="AG143" s="46"/>
      <c r="AH143" s="46"/>
      <c r="AI143" s="46"/>
      <c r="AJ143" s="46"/>
      <c r="AK143" s="46"/>
      <c r="AL143" s="46"/>
      <c r="AM143" s="46"/>
      <c r="AN143" s="46"/>
      <c r="AO143" s="46"/>
      <c r="AP143" s="46"/>
      <c r="AQ143" s="46"/>
      <c r="AR143" s="46"/>
      <c r="AS143" s="46"/>
      <c r="AT143" s="19"/>
      <c r="AU143" s="19"/>
      <c r="AV143" s="19"/>
      <c r="AW143" s="19"/>
      <c r="AX143" s="19"/>
      <c r="AY143" s="19"/>
      <c r="AZ143" s="19"/>
      <c r="BA143" s="19"/>
      <c r="BB143" s="19"/>
      <c r="BC143" s="19"/>
      <c r="BD143" s="19"/>
      <c r="BE143" s="19"/>
      <c r="BF143" s="19"/>
      <c r="BG143" s="19"/>
      <c r="BH143" s="19"/>
      <c r="BI143" s="19"/>
      <c r="BJ143" s="19"/>
    </row>
    <row r="144" spans="21:62" s="1" customFormat="1" ht="12.75" customHeight="1">
      <c r="U144" s="19"/>
      <c r="V144" s="19"/>
      <c r="W144" s="19"/>
      <c r="X144" s="19"/>
      <c r="Y144" s="19"/>
      <c r="Z144" s="19"/>
      <c r="AA144" s="19"/>
      <c r="AB144" s="19"/>
      <c r="AC144" s="19"/>
      <c r="AD144" s="46"/>
      <c r="AE144" s="46"/>
      <c r="AF144" s="46"/>
      <c r="AG144" s="46"/>
      <c r="AH144" s="46"/>
      <c r="AI144" s="46"/>
      <c r="AJ144" s="46"/>
      <c r="AK144" s="46"/>
      <c r="AL144" s="46"/>
      <c r="AM144" s="46"/>
      <c r="AN144" s="46"/>
      <c r="AO144" s="46"/>
      <c r="AP144" s="46"/>
      <c r="AQ144" s="46"/>
      <c r="AR144" s="46"/>
      <c r="AS144" s="46"/>
      <c r="AT144" s="19"/>
      <c r="AU144" s="19"/>
      <c r="AV144" s="19"/>
      <c r="AW144" s="19"/>
      <c r="AX144" s="19"/>
      <c r="AY144" s="19"/>
      <c r="AZ144" s="19"/>
      <c r="BA144" s="19"/>
      <c r="BB144" s="19"/>
      <c r="BC144" s="19"/>
      <c r="BD144" s="19"/>
      <c r="BE144" s="19"/>
      <c r="BF144" s="19"/>
      <c r="BG144" s="19"/>
      <c r="BH144" s="19"/>
      <c r="BI144" s="19"/>
      <c r="BJ144" s="19"/>
    </row>
    <row r="145" spans="21:62" s="1" customFormat="1" ht="12.75" customHeight="1">
      <c r="U145" s="19"/>
      <c r="V145" s="19"/>
      <c r="W145" s="19"/>
      <c r="X145" s="19"/>
      <c r="Y145" s="19"/>
      <c r="Z145" s="19"/>
      <c r="AA145" s="19"/>
      <c r="AB145" s="19"/>
      <c r="AC145" s="19"/>
      <c r="AD145" s="46"/>
      <c r="AE145" s="46"/>
      <c r="AF145" s="46"/>
      <c r="AG145" s="46"/>
      <c r="AH145" s="46"/>
      <c r="AI145" s="46"/>
      <c r="AJ145" s="46"/>
      <c r="AK145" s="46"/>
      <c r="AL145" s="46"/>
      <c r="AM145" s="46"/>
      <c r="AN145" s="46"/>
      <c r="AO145" s="46"/>
      <c r="AP145" s="46"/>
      <c r="AQ145" s="46"/>
      <c r="AR145" s="46"/>
      <c r="AS145" s="46"/>
      <c r="AT145" s="19"/>
      <c r="AU145" s="19"/>
      <c r="AV145" s="19"/>
      <c r="AW145" s="19"/>
      <c r="AX145" s="19"/>
      <c r="AY145" s="19"/>
      <c r="AZ145" s="19"/>
      <c r="BA145" s="19"/>
      <c r="BB145" s="19"/>
      <c r="BC145" s="19"/>
      <c r="BD145" s="19"/>
      <c r="BE145" s="19"/>
      <c r="BF145" s="19"/>
      <c r="BG145" s="19"/>
      <c r="BH145" s="19"/>
      <c r="BI145" s="19"/>
      <c r="BJ145" s="19"/>
    </row>
    <row r="146" spans="21:62" s="1" customFormat="1" ht="12.75" customHeight="1">
      <c r="U146" s="19"/>
      <c r="V146" s="19"/>
      <c r="W146" s="19"/>
      <c r="X146" s="19"/>
      <c r="Y146" s="19"/>
      <c r="Z146" s="19"/>
      <c r="AA146" s="19"/>
      <c r="AB146" s="19"/>
      <c r="AC146" s="19"/>
      <c r="AD146" s="46"/>
      <c r="AE146" s="46"/>
      <c r="AF146" s="46"/>
      <c r="AG146" s="46"/>
      <c r="AH146" s="46"/>
      <c r="AI146" s="46"/>
      <c r="AJ146" s="46"/>
      <c r="AK146" s="46"/>
      <c r="AL146" s="46"/>
      <c r="AM146" s="46"/>
      <c r="AN146" s="46"/>
      <c r="AO146" s="46"/>
      <c r="AP146" s="46"/>
      <c r="AQ146" s="46"/>
      <c r="AR146" s="46"/>
      <c r="AS146" s="46"/>
      <c r="AT146" s="19"/>
      <c r="AU146" s="19"/>
      <c r="AV146" s="19"/>
      <c r="AW146" s="19"/>
      <c r="AX146" s="19"/>
      <c r="AY146" s="19"/>
      <c r="AZ146" s="19"/>
      <c r="BA146" s="19"/>
      <c r="BB146" s="19"/>
      <c r="BC146" s="19"/>
      <c r="BD146" s="19"/>
      <c r="BE146" s="19"/>
      <c r="BF146" s="19"/>
      <c r="BG146" s="19"/>
      <c r="BH146" s="19"/>
      <c r="BI146" s="19"/>
      <c r="BJ146" s="19"/>
    </row>
    <row r="147" spans="21:62" s="1" customFormat="1" ht="12.75" customHeight="1">
      <c r="U147" s="19"/>
      <c r="V147" s="19"/>
      <c r="W147" s="19"/>
      <c r="X147" s="19"/>
      <c r="Y147" s="19"/>
      <c r="Z147" s="19"/>
      <c r="AA147" s="19"/>
      <c r="AB147" s="19"/>
      <c r="AC147" s="19"/>
      <c r="AD147" s="46"/>
      <c r="AE147" s="46"/>
      <c r="AF147" s="46"/>
      <c r="AG147" s="46"/>
      <c r="AH147" s="46"/>
      <c r="AI147" s="46"/>
      <c r="AJ147" s="46"/>
      <c r="AK147" s="46"/>
      <c r="AL147" s="46"/>
      <c r="AM147" s="46"/>
      <c r="AN147" s="46"/>
      <c r="AO147" s="46"/>
      <c r="AP147" s="46"/>
      <c r="AQ147" s="46"/>
      <c r="AR147" s="46"/>
      <c r="AS147" s="46"/>
      <c r="AT147" s="19"/>
      <c r="AU147" s="19"/>
      <c r="AV147" s="19"/>
      <c r="AW147" s="19"/>
      <c r="AX147" s="19"/>
      <c r="AY147" s="19"/>
      <c r="AZ147" s="19"/>
      <c r="BA147" s="19"/>
      <c r="BB147" s="19"/>
      <c r="BC147" s="19"/>
      <c r="BD147" s="19"/>
      <c r="BE147" s="19"/>
      <c r="BF147" s="19"/>
      <c r="BG147" s="19"/>
      <c r="BH147" s="19"/>
      <c r="BI147" s="19"/>
      <c r="BJ147" s="19"/>
    </row>
    <row r="148" spans="21:62" s="1" customFormat="1" ht="12.75" customHeight="1">
      <c r="U148" s="19"/>
      <c r="V148" s="19"/>
      <c r="W148" s="19"/>
      <c r="X148" s="19"/>
      <c r="Y148" s="19"/>
      <c r="Z148" s="19"/>
      <c r="AA148" s="19"/>
      <c r="AB148" s="19"/>
      <c r="AC148" s="19"/>
      <c r="AD148" s="46"/>
      <c r="AE148" s="46"/>
      <c r="AF148" s="46"/>
      <c r="AG148" s="46"/>
      <c r="AH148" s="46"/>
      <c r="AI148" s="46"/>
      <c r="AJ148" s="46"/>
      <c r="AK148" s="46"/>
      <c r="AL148" s="46"/>
      <c r="AM148" s="46"/>
      <c r="AN148" s="46"/>
      <c r="AO148" s="46"/>
      <c r="AP148" s="46"/>
      <c r="AQ148" s="46"/>
      <c r="AR148" s="46"/>
      <c r="AS148" s="46"/>
      <c r="AT148" s="19"/>
      <c r="AU148" s="19"/>
      <c r="AV148" s="19"/>
      <c r="AW148" s="19"/>
      <c r="AX148" s="19"/>
      <c r="AY148" s="19"/>
      <c r="AZ148" s="19"/>
      <c r="BA148" s="19"/>
      <c r="BB148" s="19"/>
      <c r="BC148" s="19"/>
      <c r="BD148" s="19"/>
      <c r="BE148" s="19"/>
      <c r="BF148" s="19"/>
      <c r="BG148" s="19"/>
      <c r="BH148" s="19"/>
      <c r="BI148" s="19"/>
      <c r="BJ148" s="19"/>
    </row>
    <row r="149" spans="21:62" s="1" customFormat="1" ht="12.75" customHeight="1">
      <c r="U149" s="19"/>
      <c r="V149" s="19"/>
      <c r="W149" s="19"/>
      <c r="X149" s="19"/>
      <c r="Y149" s="19"/>
      <c r="Z149" s="19"/>
      <c r="AA149" s="19"/>
      <c r="AB149" s="19"/>
      <c r="AC149" s="19"/>
      <c r="AD149" s="46"/>
      <c r="AE149" s="46"/>
      <c r="AF149" s="46"/>
      <c r="AG149" s="46"/>
      <c r="AH149" s="46"/>
      <c r="AI149" s="46"/>
      <c r="AJ149" s="46"/>
      <c r="AK149" s="46"/>
      <c r="AL149" s="46"/>
      <c r="AM149" s="46"/>
      <c r="AN149" s="46"/>
      <c r="AO149" s="46"/>
      <c r="AP149" s="46"/>
      <c r="AQ149" s="46"/>
      <c r="AR149" s="46"/>
      <c r="AS149" s="46"/>
      <c r="AT149" s="19"/>
      <c r="AU149" s="19"/>
      <c r="AV149" s="19"/>
      <c r="AW149" s="19"/>
      <c r="AX149" s="19"/>
      <c r="AY149" s="19"/>
      <c r="AZ149" s="19"/>
      <c r="BA149" s="19"/>
      <c r="BB149" s="19"/>
      <c r="BC149" s="19"/>
      <c r="BD149" s="19"/>
      <c r="BE149" s="19"/>
      <c r="BF149" s="19"/>
      <c r="BG149" s="19"/>
      <c r="BH149" s="19"/>
      <c r="BI149" s="19"/>
      <c r="BJ149" s="19"/>
    </row>
    <row r="150" spans="21:62" s="1" customFormat="1" ht="12.75" customHeight="1">
      <c r="U150" s="19"/>
      <c r="V150" s="19"/>
      <c r="W150" s="19"/>
      <c r="X150" s="19"/>
      <c r="Y150" s="19"/>
      <c r="Z150" s="19"/>
      <c r="AA150" s="19"/>
      <c r="AB150" s="19"/>
      <c r="AC150" s="19"/>
      <c r="AD150" s="46"/>
      <c r="AE150" s="46"/>
      <c r="AF150" s="46"/>
      <c r="AG150" s="46"/>
      <c r="AH150" s="46"/>
      <c r="AI150" s="46"/>
      <c r="AJ150" s="46"/>
      <c r="AK150" s="46"/>
      <c r="AL150" s="46"/>
      <c r="AM150" s="46"/>
      <c r="AN150" s="46"/>
      <c r="AO150" s="46"/>
      <c r="AP150" s="46"/>
      <c r="AQ150" s="46"/>
      <c r="AR150" s="46"/>
      <c r="AS150" s="46"/>
      <c r="AT150" s="19"/>
      <c r="AU150" s="19"/>
      <c r="AV150" s="19"/>
      <c r="AW150" s="19"/>
      <c r="AX150" s="19"/>
      <c r="AY150" s="19"/>
      <c r="AZ150" s="19"/>
      <c r="BA150" s="19"/>
      <c r="BB150" s="19"/>
      <c r="BC150" s="19"/>
      <c r="BD150" s="19"/>
      <c r="BE150" s="19"/>
      <c r="BF150" s="19"/>
      <c r="BG150" s="19"/>
      <c r="BH150" s="19"/>
      <c r="BI150" s="19"/>
      <c r="BJ150" s="19"/>
    </row>
    <row r="151" spans="21:62" s="1" customFormat="1" ht="12.75" customHeight="1">
      <c r="U151" s="19"/>
      <c r="V151" s="19"/>
      <c r="W151" s="19"/>
      <c r="X151" s="19"/>
      <c r="Y151" s="19"/>
      <c r="Z151" s="19"/>
      <c r="AA151" s="19"/>
      <c r="AB151" s="19"/>
      <c r="AC151" s="19"/>
      <c r="AD151" s="46"/>
      <c r="AE151" s="46"/>
      <c r="AF151" s="46"/>
      <c r="AG151" s="46"/>
      <c r="AH151" s="46"/>
      <c r="AI151" s="46"/>
      <c r="AJ151" s="46"/>
      <c r="AK151" s="46"/>
      <c r="AL151" s="46"/>
      <c r="AM151" s="46"/>
      <c r="AN151" s="46"/>
      <c r="AO151" s="46"/>
      <c r="AP151" s="46"/>
      <c r="AQ151" s="46"/>
      <c r="AR151" s="46"/>
      <c r="AS151" s="46"/>
      <c r="AT151" s="19"/>
      <c r="AU151" s="19"/>
      <c r="AV151" s="19"/>
      <c r="AW151" s="19"/>
      <c r="AX151" s="19"/>
      <c r="AY151" s="19"/>
      <c r="AZ151" s="19"/>
      <c r="BA151" s="19"/>
      <c r="BB151" s="19"/>
      <c r="BC151" s="19"/>
      <c r="BD151" s="19"/>
      <c r="BE151" s="19"/>
      <c r="BF151" s="19"/>
      <c r="BG151" s="19"/>
      <c r="BH151" s="19"/>
      <c r="BI151" s="19"/>
      <c r="BJ151" s="19"/>
    </row>
    <row r="152" spans="21:62" s="1" customFormat="1" ht="12.75" customHeight="1">
      <c r="U152" s="19"/>
      <c r="V152" s="19"/>
      <c r="W152" s="19"/>
      <c r="X152" s="19"/>
      <c r="Y152" s="19"/>
      <c r="Z152" s="19"/>
      <c r="AA152" s="19"/>
      <c r="AB152" s="19"/>
      <c r="AC152" s="19"/>
      <c r="AD152" s="46"/>
      <c r="AE152" s="46"/>
      <c r="AF152" s="46"/>
      <c r="AG152" s="46"/>
      <c r="AH152" s="46"/>
      <c r="AI152" s="46"/>
      <c r="AJ152" s="46"/>
      <c r="AK152" s="46"/>
      <c r="AL152" s="46"/>
      <c r="AM152" s="46"/>
      <c r="AN152" s="46"/>
      <c r="AO152" s="46"/>
      <c r="AP152" s="46"/>
      <c r="AQ152" s="46"/>
      <c r="AR152" s="46"/>
      <c r="AS152" s="46"/>
      <c r="AT152" s="19"/>
      <c r="AU152" s="19"/>
      <c r="AV152" s="19"/>
      <c r="AW152" s="19"/>
      <c r="AX152" s="19"/>
      <c r="AY152" s="19"/>
      <c r="AZ152" s="19"/>
      <c r="BA152" s="19"/>
      <c r="BB152" s="19"/>
      <c r="BC152" s="19"/>
      <c r="BD152" s="19"/>
      <c r="BE152" s="19"/>
      <c r="BF152" s="19"/>
      <c r="BG152" s="19"/>
      <c r="BH152" s="19"/>
      <c r="BI152" s="19"/>
      <c r="BJ152" s="19"/>
    </row>
    <row r="153" spans="21:62" s="1" customFormat="1" ht="12.75" customHeight="1">
      <c r="U153" s="19"/>
      <c r="V153" s="19"/>
      <c r="W153" s="19"/>
      <c r="X153" s="19"/>
      <c r="Y153" s="19"/>
      <c r="Z153" s="19"/>
      <c r="AA153" s="19"/>
      <c r="AB153" s="19"/>
      <c r="AC153" s="19"/>
      <c r="AD153" s="46"/>
      <c r="AE153" s="46"/>
      <c r="AF153" s="46"/>
      <c r="AG153" s="46"/>
      <c r="AH153" s="46"/>
      <c r="AI153" s="46"/>
      <c r="AJ153" s="46"/>
      <c r="AK153" s="46"/>
      <c r="AL153" s="46"/>
      <c r="AM153" s="46"/>
      <c r="AN153" s="46"/>
      <c r="AO153" s="46"/>
      <c r="AP153" s="46"/>
      <c r="AQ153" s="46"/>
      <c r="AR153" s="46"/>
      <c r="AS153" s="46"/>
      <c r="AT153" s="19"/>
      <c r="AU153" s="19"/>
      <c r="AV153" s="19"/>
      <c r="AW153" s="19"/>
      <c r="AX153" s="19"/>
      <c r="AY153" s="19"/>
      <c r="AZ153" s="19"/>
      <c r="BA153" s="19"/>
      <c r="BB153" s="19"/>
      <c r="BC153" s="19"/>
      <c r="BD153" s="19"/>
      <c r="BE153" s="19"/>
      <c r="BF153" s="19"/>
      <c r="BG153" s="19"/>
      <c r="BH153" s="19"/>
      <c r="BI153" s="19"/>
      <c r="BJ153" s="19"/>
    </row>
    <row r="154" spans="21:62" s="1" customFormat="1" ht="12.75" customHeight="1">
      <c r="U154" s="19"/>
      <c r="V154" s="19"/>
      <c r="W154" s="19"/>
      <c r="X154" s="19"/>
      <c r="Y154" s="19"/>
      <c r="Z154" s="19"/>
      <c r="AA154" s="19"/>
      <c r="AB154" s="19"/>
      <c r="AC154" s="19"/>
      <c r="AD154" s="46"/>
      <c r="AE154" s="46"/>
      <c r="AF154" s="46"/>
      <c r="AG154" s="46"/>
      <c r="AH154" s="46"/>
      <c r="AI154" s="46"/>
      <c r="AJ154" s="46"/>
      <c r="AK154" s="46"/>
      <c r="AL154" s="46"/>
      <c r="AM154" s="46"/>
      <c r="AN154" s="46"/>
      <c r="AO154" s="46"/>
      <c r="AP154" s="46"/>
      <c r="AQ154" s="46"/>
      <c r="AR154" s="46"/>
      <c r="AS154" s="46"/>
      <c r="AT154" s="19"/>
      <c r="AU154" s="19"/>
      <c r="AV154" s="19"/>
      <c r="AW154" s="19"/>
      <c r="AX154" s="19"/>
      <c r="AY154" s="19"/>
      <c r="AZ154" s="19"/>
      <c r="BA154" s="19"/>
      <c r="BB154" s="19"/>
      <c r="BC154" s="19"/>
      <c r="BD154" s="19"/>
      <c r="BE154" s="19"/>
      <c r="BF154" s="19"/>
      <c r="BG154" s="19"/>
      <c r="BH154" s="19"/>
      <c r="BI154" s="19"/>
      <c r="BJ154" s="19"/>
    </row>
    <row r="155" spans="21:62" s="1" customFormat="1" ht="12.75" customHeight="1">
      <c r="U155" s="19"/>
      <c r="V155" s="19"/>
      <c r="W155" s="19"/>
      <c r="X155" s="19"/>
      <c r="Y155" s="19"/>
      <c r="Z155" s="19"/>
      <c r="AA155" s="19"/>
      <c r="AB155" s="19"/>
      <c r="AC155" s="19"/>
      <c r="AD155" s="46"/>
      <c r="AE155" s="46"/>
      <c r="AF155" s="46"/>
      <c r="AG155" s="46"/>
      <c r="AH155" s="46"/>
      <c r="AI155" s="46"/>
      <c r="AJ155" s="46"/>
      <c r="AK155" s="46"/>
      <c r="AL155" s="46"/>
      <c r="AM155" s="46"/>
      <c r="AN155" s="46"/>
      <c r="AO155" s="46"/>
      <c r="AP155" s="46"/>
      <c r="AQ155" s="46"/>
      <c r="AR155" s="46"/>
      <c r="AS155" s="46"/>
      <c r="AT155" s="19"/>
      <c r="AU155" s="19"/>
      <c r="AV155" s="19"/>
      <c r="AW155" s="19"/>
      <c r="AX155" s="19"/>
      <c r="AY155" s="19"/>
      <c r="AZ155" s="19"/>
      <c r="BA155" s="19"/>
      <c r="BB155" s="19"/>
      <c r="BC155" s="19"/>
      <c r="BD155" s="19"/>
      <c r="BE155" s="19"/>
      <c r="BF155" s="19"/>
      <c r="BG155" s="19"/>
      <c r="BH155" s="19"/>
      <c r="BI155" s="19"/>
      <c r="BJ155" s="19"/>
    </row>
    <row r="156" spans="21:62" s="1" customFormat="1" ht="12.75" customHeight="1">
      <c r="U156" s="19"/>
      <c r="V156" s="19"/>
      <c r="W156" s="19"/>
      <c r="X156" s="19"/>
      <c r="Y156" s="19"/>
      <c r="Z156" s="19"/>
      <c r="AA156" s="19"/>
      <c r="AB156" s="19"/>
      <c r="AC156" s="19"/>
      <c r="AD156" s="46"/>
      <c r="AE156" s="46"/>
      <c r="AF156" s="46"/>
      <c r="AG156" s="46"/>
      <c r="AH156" s="46"/>
      <c r="AI156" s="46"/>
      <c r="AJ156" s="46"/>
      <c r="AK156" s="46"/>
      <c r="AL156" s="46"/>
      <c r="AM156" s="46"/>
      <c r="AN156" s="46"/>
      <c r="AO156" s="46"/>
      <c r="AP156" s="46"/>
      <c r="AQ156" s="46"/>
      <c r="AR156" s="46"/>
      <c r="AS156" s="46"/>
      <c r="AT156" s="19"/>
      <c r="AU156" s="19"/>
      <c r="AV156" s="19"/>
      <c r="AW156" s="19"/>
      <c r="AX156" s="19"/>
      <c r="AY156" s="19"/>
      <c r="AZ156" s="19"/>
      <c r="BA156" s="19"/>
      <c r="BB156" s="19"/>
      <c r="BC156" s="19"/>
      <c r="BD156" s="19"/>
      <c r="BE156" s="19"/>
      <c r="BF156" s="19"/>
      <c r="BG156" s="19"/>
      <c r="BH156" s="19"/>
      <c r="BI156" s="19"/>
      <c r="BJ156" s="19"/>
    </row>
    <row r="157" spans="21:62" s="1" customFormat="1" ht="12.75" customHeight="1">
      <c r="U157" s="19"/>
      <c r="V157" s="19"/>
      <c r="W157" s="19"/>
      <c r="X157" s="19"/>
      <c r="Y157" s="19"/>
      <c r="Z157" s="19"/>
      <c r="AA157" s="19"/>
      <c r="AB157" s="19"/>
      <c r="AC157" s="19"/>
      <c r="AD157" s="46"/>
      <c r="AE157" s="46"/>
      <c r="AF157" s="46"/>
      <c r="AG157" s="46"/>
      <c r="AH157" s="46"/>
      <c r="AI157" s="46"/>
      <c r="AJ157" s="46"/>
      <c r="AK157" s="46"/>
      <c r="AL157" s="46"/>
      <c r="AM157" s="46"/>
      <c r="AN157" s="46"/>
      <c r="AO157" s="46"/>
      <c r="AP157" s="46"/>
      <c r="AQ157" s="46"/>
      <c r="AR157" s="46"/>
      <c r="AS157" s="46"/>
      <c r="AT157" s="19"/>
      <c r="AU157" s="19"/>
      <c r="AV157" s="19"/>
      <c r="AW157" s="19"/>
      <c r="AX157" s="19"/>
      <c r="AY157" s="19"/>
      <c r="AZ157" s="19"/>
      <c r="BA157" s="19"/>
      <c r="BB157" s="19"/>
      <c r="BC157" s="19"/>
      <c r="BD157" s="19"/>
      <c r="BE157" s="19"/>
      <c r="BF157" s="19"/>
      <c r="BG157" s="19"/>
      <c r="BH157" s="19"/>
      <c r="BI157" s="19"/>
      <c r="BJ157" s="19"/>
    </row>
    <row r="158" spans="21:62" s="1" customFormat="1" ht="12.75" customHeight="1">
      <c r="U158" s="19"/>
      <c r="V158" s="19"/>
      <c r="W158" s="19"/>
      <c r="X158" s="19"/>
      <c r="Y158" s="19"/>
      <c r="Z158" s="19"/>
      <c r="AA158" s="19"/>
      <c r="AB158" s="19"/>
      <c r="AC158" s="19"/>
      <c r="AD158" s="46"/>
      <c r="AE158" s="46"/>
      <c r="AF158" s="46"/>
      <c r="AG158" s="46"/>
      <c r="AH158" s="46"/>
      <c r="AI158" s="46"/>
      <c r="AJ158" s="46"/>
      <c r="AK158" s="46"/>
      <c r="AL158" s="46"/>
      <c r="AM158" s="46"/>
      <c r="AN158" s="46"/>
      <c r="AO158" s="46"/>
      <c r="AP158" s="46"/>
      <c r="AQ158" s="46"/>
      <c r="AR158" s="46"/>
      <c r="AS158" s="46"/>
      <c r="AT158" s="19"/>
      <c r="AU158" s="19"/>
      <c r="AV158" s="19"/>
      <c r="AW158" s="19"/>
      <c r="AX158" s="19"/>
      <c r="AY158" s="19"/>
      <c r="AZ158" s="19"/>
      <c r="BA158" s="19"/>
      <c r="BB158" s="19"/>
      <c r="BC158" s="19"/>
      <c r="BD158" s="19"/>
      <c r="BE158" s="19"/>
      <c r="BF158" s="19"/>
      <c r="BG158" s="19"/>
      <c r="BH158" s="19"/>
      <c r="BI158" s="19"/>
      <c r="BJ158" s="19"/>
    </row>
    <row r="159" spans="21:62" s="1" customFormat="1" ht="12.75" customHeight="1">
      <c r="U159" s="19"/>
      <c r="V159" s="19"/>
      <c r="W159" s="19"/>
      <c r="X159" s="19"/>
      <c r="Y159" s="19"/>
      <c r="Z159" s="19"/>
      <c r="AA159" s="19"/>
      <c r="AB159" s="19"/>
      <c r="AC159" s="19"/>
      <c r="AD159" s="46"/>
      <c r="AE159" s="46"/>
      <c r="AF159" s="46"/>
      <c r="AG159" s="46"/>
      <c r="AH159" s="46"/>
      <c r="AI159" s="46"/>
      <c r="AJ159" s="46"/>
      <c r="AK159" s="46"/>
      <c r="AL159" s="46"/>
      <c r="AM159" s="46"/>
      <c r="AN159" s="46"/>
      <c r="AO159" s="46"/>
      <c r="AP159" s="46"/>
      <c r="AQ159" s="46"/>
      <c r="AR159" s="46"/>
      <c r="AS159" s="46"/>
      <c r="AT159" s="19"/>
      <c r="AU159" s="19"/>
      <c r="AV159" s="19"/>
      <c r="AW159" s="19"/>
      <c r="AX159" s="19"/>
      <c r="AY159" s="19"/>
      <c r="AZ159" s="19"/>
      <c r="BA159" s="19"/>
      <c r="BB159" s="19"/>
      <c r="BC159" s="19"/>
      <c r="BD159" s="19"/>
      <c r="BE159" s="19"/>
      <c r="BF159" s="19"/>
      <c r="BG159" s="19"/>
      <c r="BH159" s="19"/>
      <c r="BI159" s="19"/>
      <c r="BJ159" s="19"/>
    </row>
    <row r="160" spans="21:62" s="1" customFormat="1" ht="12.75" customHeight="1">
      <c r="U160" s="19"/>
      <c r="V160" s="19"/>
      <c r="W160" s="19"/>
      <c r="X160" s="19"/>
      <c r="Y160" s="19"/>
      <c r="Z160" s="19"/>
      <c r="AA160" s="19"/>
      <c r="AB160" s="19"/>
      <c r="AC160" s="19"/>
      <c r="AD160" s="46"/>
      <c r="AE160" s="46"/>
      <c r="AF160" s="46"/>
      <c r="AG160" s="46"/>
      <c r="AH160" s="46"/>
      <c r="AI160" s="46"/>
      <c r="AJ160" s="46"/>
      <c r="AK160" s="46"/>
      <c r="AL160" s="46"/>
      <c r="AM160" s="46"/>
      <c r="AN160" s="46"/>
      <c r="AO160" s="46"/>
      <c r="AP160" s="46"/>
      <c r="AQ160" s="46"/>
      <c r="AR160" s="46"/>
      <c r="AS160" s="46"/>
      <c r="AT160" s="19"/>
      <c r="AU160" s="19"/>
      <c r="AV160" s="19"/>
      <c r="AW160" s="19"/>
      <c r="AX160" s="19"/>
      <c r="AY160" s="19"/>
      <c r="AZ160" s="19"/>
      <c r="BA160" s="19"/>
      <c r="BB160" s="19"/>
      <c r="BC160" s="19"/>
      <c r="BD160" s="19"/>
      <c r="BE160" s="19"/>
      <c r="BF160" s="19"/>
      <c r="BG160" s="19"/>
      <c r="BH160" s="19"/>
      <c r="BI160" s="19"/>
      <c r="BJ160" s="19"/>
    </row>
    <row r="161" spans="21:62" s="1" customFormat="1" ht="12.75" customHeight="1">
      <c r="U161" s="19"/>
      <c r="V161" s="19"/>
      <c r="W161" s="19"/>
      <c r="X161" s="19"/>
      <c r="Y161" s="19"/>
      <c r="Z161" s="19"/>
      <c r="AA161" s="19"/>
      <c r="AB161" s="19"/>
      <c r="AC161" s="19"/>
      <c r="AD161" s="46"/>
      <c r="AE161" s="46"/>
      <c r="AF161" s="46"/>
      <c r="AG161" s="46"/>
      <c r="AH161" s="46"/>
      <c r="AI161" s="46"/>
      <c r="AJ161" s="46"/>
      <c r="AK161" s="46"/>
      <c r="AL161" s="46"/>
      <c r="AM161" s="46"/>
      <c r="AN161" s="46"/>
      <c r="AO161" s="46"/>
      <c r="AP161" s="46"/>
      <c r="AQ161" s="46"/>
      <c r="AR161" s="46"/>
      <c r="AS161" s="46"/>
      <c r="AT161" s="19"/>
      <c r="AU161" s="19"/>
      <c r="AV161" s="19"/>
      <c r="AW161" s="19"/>
      <c r="AX161" s="19"/>
      <c r="AY161" s="19"/>
      <c r="AZ161" s="19"/>
      <c r="BA161" s="19"/>
      <c r="BB161" s="19"/>
      <c r="BC161" s="19"/>
      <c r="BD161" s="19"/>
      <c r="BE161" s="19"/>
      <c r="BF161" s="19"/>
      <c r="BG161" s="19"/>
      <c r="BH161" s="19"/>
      <c r="BI161" s="19"/>
      <c r="BJ161" s="19"/>
    </row>
    <row r="162" spans="21:62" s="1" customFormat="1" ht="12.75" customHeight="1">
      <c r="U162" s="19"/>
      <c r="V162" s="19"/>
      <c r="W162" s="19"/>
      <c r="X162" s="19"/>
      <c r="Y162" s="19"/>
      <c r="Z162" s="19"/>
      <c r="AA162" s="19"/>
      <c r="AB162" s="19"/>
      <c r="AC162" s="19"/>
      <c r="AD162" s="46"/>
      <c r="AE162" s="46"/>
      <c r="AF162" s="46"/>
      <c r="AG162" s="46"/>
      <c r="AH162" s="46"/>
      <c r="AI162" s="46"/>
      <c r="AJ162" s="46"/>
      <c r="AK162" s="46"/>
      <c r="AL162" s="46"/>
      <c r="AM162" s="46"/>
      <c r="AN162" s="46"/>
      <c r="AO162" s="46"/>
      <c r="AP162" s="46"/>
      <c r="AQ162" s="46"/>
      <c r="AR162" s="46"/>
      <c r="AS162" s="46"/>
      <c r="AT162" s="19"/>
      <c r="AU162" s="19"/>
      <c r="AV162" s="19"/>
      <c r="AW162" s="19"/>
      <c r="AX162" s="19"/>
      <c r="AY162" s="19"/>
      <c r="AZ162" s="19"/>
      <c r="BA162" s="19"/>
      <c r="BB162" s="19"/>
      <c r="BC162" s="19"/>
      <c r="BD162" s="19"/>
      <c r="BE162" s="19"/>
      <c r="BF162" s="19"/>
      <c r="BG162" s="19"/>
      <c r="BH162" s="19"/>
      <c r="BI162" s="19"/>
      <c r="BJ162" s="19"/>
    </row>
    <row r="163" spans="21:62" s="1" customFormat="1" ht="12.75" customHeight="1">
      <c r="U163" s="19"/>
      <c r="V163" s="19"/>
      <c r="W163" s="19"/>
      <c r="X163" s="19"/>
      <c r="Y163" s="19"/>
      <c r="Z163" s="19"/>
      <c r="AA163" s="19"/>
      <c r="AB163" s="19"/>
      <c r="AC163" s="19"/>
      <c r="AD163" s="46"/>
      <c r="AE163" s="46"/>
      <c r="AF163" s="46"/>
      <c r="AG163" s="46"/>
      <c r="AH163" s="46"/>
      <c r="AI163" s="46"/>
      <c r="AJ163" s="46"/>
      <c r="AK163" s="46"/>
      <c r="AL163" s="46"/>
      <c r="AM163" s="46"/>
      <c r="AN163" s="46"/>
      <c r="AO163" s="46"/>
      <c r="AP163" s="46"/>
      <c r="AQ163" s="46"/>
      <c r="AR163" s="46"/>
      <c r="AS163" s="46"/>
      <c r="AT163" s="19"/>
      <c r="AU163" s="19"/>
      <c r="AV163" s="19"/>
      <c r="AW163" s="19"/>
      <c r="AX163" s="19"/>
      <c r="AY163" s="19"/>
      <c r="AZ163" s="19"/>
      <c r="BA163" s="19"/>
      <c r="BB163" s="19"/>
      <c r="BC163" s="19"/>
      <c r="BD163" s="19"/>
      <c r="BE163" s="19"/>
      <c r="BF163" s="19"/>
      <c r="BG163" s="19"/>
      <c r="BH163" s="19"/>
      <c r="BI163" s="19"/>
      <c r="BJ163" s="19"/>
    </row>
    <row r="164" spans="21:62" s="1" customFormat="1" ht="12.75" customHeight="1">
      <c r="U164" s="19"/>
      <c r="V164" s="19"/>
      <c r="W164" s="19"/>
      <c r="X164" s="19"/>
      <c r="Y164" s="19"/>
      <c r="Z164" s="19"/>
      <c r="AA164" s="19"/>
      <c r="AB164" s="19"/>
      <c r="AC164" s="19"/>
      <c r="AD164" s="46"/>
      <c r="AE164" s="46"/>
      <c r="AF164" s="46"/>
      <c r="AG164" s="46"/>
      <c r="AH164" s="46"/>
      <c r="AI164" s="46"/>
      <c r="AJ164" s="46"/>
      <c r="AK164" s="46"/>
      <c r="AL164" s="46"/>
      <c r="AM164" s="46"/>
      <c r="AN164" s="46"/>
      <c r="AO164" s="46"/>
      <c r="AP164" s="46"/>
      <c r="AQ164" s="46"/>
      <c r="AR164" s="46"/>
      <c r="AS164" s="46"/>
      <c r="AT164" s="19"/>
      <c r="AU164" s="19"/>
      <c r="AV164" s="19"/>
      <c r="AW164" s="19"/>
      <c r="AX164" s="19"/>
      <c r="AY164" s="19"/>
      <c r="AZ164" s="19"/>
      <c r="BA164" s="19"/>
      <c r="BB164" s="19"/>
      <c r="BC164" s="19"/>
      <c r="BD164" s="19"/>
      <c r="BE164" s="19"/>
      <c r="BF164" s="19"/>
      <c r="BG164" s="19"/>
      <c r="BH164" s="19"/>
      <c r="BI164" s="19"/>
      <c r="BJ164" s="19"/>
    </row>
    <row r="165" spans="21:62" s="1" customFormat="1" ht="12.75" customHeight="1">
      <c r="U165" s="19"/>
      <c r="V165" s="19"/>
      <c r="W165" s="19"/>
      <c r="X165" s="19"/>
      <c r="Y165" s="19"/>
      <c r="Z165" s="19"/>
      <c r="AA165" s="19"/>
      <c r="AB165" s="19"/>
      <c r="AC165" s="19"/>
      <c r="AD165" s="46"/>
      <c r="AE165" s="46"/>
      <c r="AF165" s="46"/>
      <c r="AG165" s="46"/>
      <c r="AH165" s="46"/>
      <c r="AI165" s="46"/>
      <c r="AJ165" s="46"/>
      <c r="AK165" s="46"/>
      <c r="AL165" s="46"/>
      <c r="AM165" s="46"/>
      <c r="AN165" s="46"/>
      <c r="AO165" s="46"/>
      <c r="AP165" s="46"/>
      <c r="AQ165" s="46"/>
      <c r="AR165" s="46"/>
      <c r="AS165" s="46"/>
      <c r="AT165" s="19"/>
      <c r="AU165" s="19"/>
      <c r="AV165" s="19"/>
      <c r="AW165" s="19"/>
      <c r="AX165" s="19"/>
      <c r="AY165" s="19"/>
      <c r="AZ165" s="19"/>
      <c r="BA165" s="19"/>
      <c r="BB165" s="19"/>
      <c r="BC165" s="19"/>
      <c r="BD165" s="19"/>
      <c r="BE165" s="19"/>
      <c r="BF165" s="19"/>
      <c r="BG165" s="19"/>
      <c r="BH165" s="19"/>
      <c r="BI165" s="19"/>
      <c r="BJ165" s="19"/>
    </row>
    <row r="166" spans="21:62" s="1" customFormat="1" ht="12.75" customHeight="1">
      <c r="U166" s="19"/>
      <c r="V166" s="19"/>
      <c r="W166" s="19"/>
      <c r="X166" s="19"/>
      <c r="Y166" s="19"/>
      <c r="Z166" s="19"/>
      <c r="AA166" s="19"/>
      <c r="AB166" s="19"/>
      <c r="AC166" s="19"/>
      <c r="AD166" s="46"/>
      <c r="AE166" s="46"/>
      <c r="AF166" s="46"/>
      <c r="AG166" s="46"/>
      <c r="AH166" s="46"/>
      <c r="AI166" s="46"/>
      <c r="AJ166" s="46"/>
      <c r="AK166" s="46"/>
      <c r="AL166" s="46"/>
      <c r="AM166" s="46"/>
      <c r="AN166" s="46"/>
      <c r="AO166" s="46"/>
      <c r="AP166" s="46"/>
      <c r="AQ166" s="46"/>
      <c r="AR166" s="46"/>
      <c r="AS166" s="46"/>
      <c r="AT166" s="19"/>
      <c r="AU166" s="19"/>
      <c r="AV166" s="19"/>
      <c r="AW166" s="19"/>
      <c r="AX166" s="19"/>
      <c r="AY166" s="19"/>
      <c r="AZ166" s="19"/>
      <c r="BA166" s="19"/>
      <c r="BB166" s="19"/>
      <c r="BC166" s="19"/>
      <c r="BD166" s="19"/>
      <c r="BE166" s="19"/>
      <c r="BF166" s="19"/>
      <c r="BG166" s="19"/>
      <c r="BH166" s="19"/>
      <c r="BI166" s="19"/>
      <c r="BJ166" s="19"/>
    </row>
    <row r="167" spans="21:62" s="1" customFormat="1" ht="12.75" customHeight="1">
      <c r="U167" s="19"/>
      <c r="V167" s="19"/>
      <c r="W167" s="19"/>
      <c r="X167" s="19"/>
      <c r="Y167" s="19"/>
      <c r="Z167" s="19"/>
      <c r="AA167" s="19"/>
      <c r="AB167" s="19"/>
      <c r="AC167" s="19"/>
      <c r="AD167" s="46"/>
      <c r="AE167" s="46"/>
      <c r="AF167" s="46"/>
      <c r="AG167" s="46"/>
      <c r="AH167" s="46"/>
      <c r="AI167" s="46"/>
      <c r="AJ167" s="46"/>
      <c r="AK167" s="46"/>
      <c r="AL167" s="46"/>
      <c r="AM167" s="46"/>
      <c r="AN167" s="46"/>
      <c r="AO167" s="46"/>
      <c r="AP167" s="46"/>
      <c r="AQ167" s="46"/>
      <c r="AR167" s="46"/>
      <c r="AS167" s="46"/>
      <c r="AT167" s="19"/>
      <c r="AU167" s="19"/>
      <c r="AV167" s="19"/>
      <c r="AW167" s="19"/>
      <c r="AX167" s="19"/>
      <c r="AY167" s="19"/>
      <c r="AZ167" s="19"/>
      <c r="BA167" s="19"/>
      <c r="BB167" s="19"/>
      <c r="BC167" s="19"/>
      <c r="BD167" s="19"/>
      <c r="BE167" s="19"/>
      <c r="BF167" s="19"/>
      <c r="BG167" s="19"/>
      <c r="BH167" s="19"/>
      <c r="BI167" s="19"/>
      <c r="BJ167" s="19"/>
    </row>
    <row r="168" spans="21:62" s="1" customFormat="1" ht="12.75" customHeight="1">
      <c r="U168" s="19"/>
      <c r="V168" s="19"/>
      <c r="W168" s="19"/>
      <c r="X168" s="19"/>
      <c r="Y168" s="19"/>
      <c r="Z168" s="19"/>
      <c r="AA168" s="19"/>
      <c r="AB168" s="19"/>
      <c r="AC168" s="19"/>
      <c r="AD168" s="46"/>
      <c r="AE168" s="46"/>
      <c r="AF168" s="46"/>
      <c r="AG168" s="46"/>
      <c r="AH168" s="46"/>
      <c r="AI168" s="46"/>
      <c r="AJ168" s="46"/>
      <c r="AK168" s="46"/>
      <c r="AL168" s="46"/>
      <c r="AM168" s="46"/>
      <c r="AN168" s="46"/>
      <c r="AO168" s="46"/>
      <c r="AP168" s="46"/>
      <c r="AQ168" s="46"/>
      <c r="AR168" s="46"/>
      <c r="AS168" s="46"/>
      <c r="AT168" s="19"/>
      <c r="AU168" s="19"/>
      <c r="AV168" s="19"/>
      <c r="AW168" s="19"/>
      <c r="AX168" s="19"/>
      <c r="AY168" s="19"/>
      <c r="AZ168" s="19"/>
      <c r="BA168" s="19"/>
      <c r="BB168" s="19"/>
      <c r="BC168" s="19"/>
      <c r="BD168" s="19"/>
      <c r="BE168" s="19"/>
      <c r="BF168" s="19"/>
      <c r="BG168" s="19"/>
      <c r="BH168" s="19"/>
      <c r="BI168" s="19"/>
      <c r="BJ168" s="19"/>
    </row>
    <row r="169" spans="21:62" s="1" customFormat="1" ht="12.75" customHeight="1">
      <c r="U169" s="19"/>
      <c r="V169" s="19"/>
      <c r="W169" s="19"/>
      <c r="X169" s="19"/>
      <c r="Y169" s="19"/>
      <c r="Z169" s="19"/>
      <c r="AA169" s="19"/>
      <c r="AB169" s="19"/>
      <c r="AC169" s="19"/>
      <c r="AD169" s="46"/>
      <c r="AE169" s="46"/>
      <c r="AF169" s="46"/>
      <c r="AG169" s="46"/>
      <c r="AH169" s="46"/>
      <c r="AI169" s="46"/>
      <c r="AJ169" s="46"/>
      <c r="AK169" s="46"/>
      <c r="AL169" s="46"/>
      <c r="AM169" s="46"/>
      <c r="AN169" s="46"/>
      <c r="AO169" s="46"/>
      <c r="AP169" s="46"/>
      <c r="AQ169" s="46"/>
      <c r="AR169" s="46"/>
      <c r="AS169" s="46"/>
      <c r="AT169" s="19"/>
      <c r="AU169" s="19"/>
      <c r="AV169" s="19"/>
      <c r="AW169" s="19"/>
      <c r="AX169" s="19"/>
      <c r="AY169" s="19"/>
      <c r="AZ169" s="19"/>
      <c r="BA169" s="19"/>
      <c r="BB169" s="19"/>
      <c r="BC169" s="19"/>
      <c r="BD169" s="19"/>
      <c r="BE169" s="19"/>
      <c r="BF169" s="19"/>
      <c r="BG169" s="19"/>
      <c r="BH169" s="19"/>
      <c r="BI169" s="19"/>
      <c r="BJ169" s="19"/>
    </row>
    <row r="170" spans="21:62" s="1" customFormat="1" ht="12.75" customHeight="1">
      <c r="U170" s="19"/>
      <c r="V170" s="19"/>
      <c r="W170" s="19"/>
      <c r="X170" s="19"/>
      <c r="Y170" s="19"/>
      <c r="Z170" s="19"/>
      <c r="AA170" s="19"/>
      <c r="AB170" s="19"/>
      <c r="AC170" s="19"/>
      <c r="AD170" s="46"/>
      <c r="AE170" s="46"/>
      <c r="AF170" s="46"/>
      <c r="AG170" s="46"/>
      <c r="AH170" s="46"/>
      <c r="AI170" s="46"/>
      <c r="AJ170" s="46"/>
      <c r="AK170" s="46"/>
      <c r="AL170" s="46"/>
      <c r="AM170" s="46"/>
      <c r="AN170" s="46"/>
      <c r="AO170" s="46"/>
      <c r="AP170" s="46"/>
      <c r="AQ170" s="46"/>
      <c r="AR170" s="46"/>
      <c r="AS170" s="46"/>
      <c r="AT170" s="19"/>
      <c r="AU170" s="19"/>
      <c r="AV170" s="19"/>
      <c r="AW170" s="19"/>
      <c r="AX170" s="19"/>
      <c r="AY170" s="19"/>
      <c r="AZ170" s="19"/>
      <c r="BA170" s="19"/>
      <c r="BB170" s="19"/>
      <c r="BC170" s="19"/>
      <c r="BD170" s="19"/>
      <c r="BE170" s="19"/>
      <c r="BF170" s="19"/>
      <c r="BG170" s="19"/>
      <c r="BH170" s="19"/>
      <c r="BI170" s="19"/>
      <c r="BJ170" s="19"/>
    </row>
    <row r="171" spans="21:62" s="1" customFormat="1" ht="12.75" customHeight="1">
      <c r="U171" s="19"/>
      <c r="V171" s="19"/>
      <c r="W171" s="19"/>
      <c r="X171" s="19"/>
      <c r="Y171" s="19"/>
      <c r="Z171" s="19"/>
      <c r="AA171" s="19"/>
      <c r="AB171" s="19"/>
      <c r="AC171" s="19"/>
      <c r="AD171" s="46"/>
      <c r="AE171" s="46"/>
      <c r="AF171" s="46"/>
      <c r="AG171" s="46"/>
      <c r="AH171" s="46"/>
      <c r="AI171" s="46"/>
      <c r="AJ171" s="46"/>
      <c r="AK171" s="46"/>
      <c r="AL171" s="46"/>
      <c r="AM171" s="46"/>
      <c r="AN171" s="46"/>
      <c r="AO171" s="46"/>
      <c r="AP171" s="46"/>
      <c r="AQ171" s="46"/>
      <c r="AR171" s="46"/>
      <c r="AS171" s="46"/>
      <c r="AT171" s="19"/>
      <c r="AU171" s="19"/>
      <c r="AV171" s="19"/>
      <c r="AW171" s="19"/>
      <c r="AX171" s="19"/>
      <c r="AY171" s="19"/>
      <c r="AZ171" s="19"/>
      <c r="BA171" s="19"/>
      <c r="BB171" s="19"/>
      <c r="BC171" s="19"/>
      <c r="BD171" s="19"/>
      <c r="BE171" s="19"/>
      <c r="BF171" s="19"/>
      <c r="BG171" s="19"/>
      <c r="BH171" s="19"/>
      <c r="BI171" s="19"/>
      <c r="BJ171" s="19"/>
    </row>
    <row r="172" spans="21:62" s="1" customFormat="1" ht="12.75" customHeight="1">
      <c r="U172" s="19"/>
      <c r="V172" s="19"/>
      <c r="W172" s="19"/>
      <c r="X172" s="19"/>
      <c r="Y172" s="19"/>
      <c r="Z172" s="19"/>
      <c r="AA172" s="19"/>
      <c r="AB172" s="19"/>
      <c r="AC172" s="19"/>
      <c r="AD172" s="46"/>
      <c r="AE172" s="46"/>
      <c r="AF172" s="46"/>
      <c r="AG172" s="46"/>
      <c r="AH172" s="46"/>
      <c r="AI172" s="46"/>
      <c r="AJ172" s="46"/>
      <c r="AK172" s="46"/>
      <c r="AL172" s="46"/>
      <c r="AM172" s="46"/>
      <c r="AN172" s="46"/>
      <c r="AO172" s="46"/>
      <c r="AP172" s="46"/>
      <c r="AQ172" s="46"/>
      <c r="AR172" s="46"/>
      <c r="AS172" s="46"/>
      <c r="AT172" s="19"/>
      <c r="AU172" s="19"/>
      <c r="AV172" s="19"/>
      <c r="AW172" s="19"/>
      <c r="AX172" s="19"/>
      <c r="AY172" s="19"/>
      <c r="AZ172" s="19"/>
      <c r="BA172" s="19"/>
      <c r="BB172" s="19"/>
      <c r="BC172" s="19"/>
      <c r="BD172" s="19"/>
      <c r="BE172" s="19"/>
      <c r="BF172" s="19"/>
      <c r="BG172" s="19"/>
      <c r="BH172" s="19"/>
      <c r="BI172" s="19"/>
      <c r="BJ172" s="19"/>
    </row>
    <row r="173" spans="21:62" s="1" customFormat="1" ht="12.75" customHeight="1">
      <c r="U173" s="19"/>
      <c r="V173" s="19"/>
      <c r="W173" s="19"/>
      <c r="X173" s="19"/>
      <c r="Y173" s="19"/>
      <c r="Z173" s="19"/>
      <c r="AA173" s="19"/>
      <c r="AB173" s="19"/>
      <c r="AC173" s="19"/>
      <c r="AD173" s="46"/>
      <c r="AE173" s="46"/>
      <c r="AF173" s="46"/>
      <c r="AG173" s="46"/>
      <c r="AH173" s="46"/>
      <c r="AI173" s="46"/>
      <c r="AJ173" s="46"/>
      <c r="AK173" s="46"/>
      <c r="AL173" s="46"/>
      <c r="AM173" s="46"/>
      <c r="AN173" s="46"/>
      <c r="AO173" s="46"/>
      <c r="AP173" s="46"/>
      <c r="AQ173" s="46"/>
      <c r="AR173" s="46"/>
      <c r="AS173" s="46"/>
      <c r="AT173" s="19"/>
      <c r="AU173" s="19"/>
      <c r="AV173" s="19"/>
      <c r="AW173" s="19"/>
      <c r="AX173" s="19"/>
      <c r="AY173" s="19"/>
      <c r="AZ173" s="19"/>
      <c r="BA173" s="19"/>
      <c r="BB173" s="19"/>
      <c r="BC173" s="19"/>
      <c r="BD173" s="19"/>
      <c r="BE173" s="19"/>
      <c r="BF173" s="19"/>
      <c r="BG173" s="19"/>
      <c r="BH173" s="19"/>
      <c r="BI173" s="19"/>
      <c r="BJ173" s="19"/>
    </row>
    <row r="174" spans="21:62" s="1" customFormat="1" ht="12.75" customHeight="1">
      <c r="U174" s="19"/>
      <c r="V174" s="19"/>
      <c r="W174" s="19"/>
      <c r="X174" s="19"/>
      <c r="Y174" s="19"/>
      <c r="Z174" s="19"/>
      <c r="AA174" s="19"/>
      <c r="AB174" s="19"/>
      <c r="AC174" s="19"/>
      <c r="AD174" s="46"/>
      <c r="AE174" s="46"/>
      <c r="AF174" s="46"/>
      <c r="AG174" s="46"/>
      <c r="AH174" s="46"/>
      <c r="AI174" s="46"/>
      <c r="AJ174" s="46"/>
      <c r="AK174" s="46"/>
      <c r="AL174" s="46"/>
      <c r="AM174" s="46"/>
      <c r="AN174" s="46"/>
      <c r="AO174" s="46"/>
      <c r="AP174" s="46"/>
      <c r="AQ174" s="46"/>
      <c r="AR174" s="46"/>
      <c r="AS174" s="46"/>
      <c r="AT174" s="19"/>
      <c r="AU174" s="19"/>
      <c r="AV174" s="19"/>
      <c r="AW174" s="19"/>
      <c r="AX174" s="19"/>
      <c r="AY174" s="19"/>
      <c r="AZ174" s="19"/>
      <c r="BA174" s="19"/>
      <c r="BB174" s="19"/>
      <c r="BC174" s="19"/>
      <c r="BD174" s="19"/>
      <c r="BE174" s="19"/>
      <c r="BF174" s="19"/>
      <c r="BG174" s="19"/>
      <c r="BH174" s="19"/>
      <c r="BI174" s="19"/>
      <c r="BJ174" s="19"/>
    </row>
    <row r="175" spans="21:62" s="1" customFormat="1" ht="12.75" customHeight="1">
      <c r="U175" s="19"/>
      <c r="V175" s="19"/>
      <c r="W175" s="19"/>
      <c r="X175" s="19"/>
      <c r="Y175" s="19"/>
      <c r="Z175" s="19"/>
      <c r="AA175" s="19"/>
      <c r="AB175" s="19"/>
      <c r="AC175" s="19"/>
      <c r="AD175" s="46"/>
      <c r="AE175" s="46"/>
      <c r="AF175" s="46"/>
      <c r="AG175" s="46"/>
      <c r="AH175" s="46"/>
      <c r="AI175" s="46"/>
      <c r="AJ175" s="46"/>
      <c r="AK175" s="46"/>
      <c r="AL175" s="46"/>
      <c r="AM175" s="46"/>
      <c r="AN175" s="46"/>
      <c r="AO175" s="46"/>
      <c r="AP175" s="46"/>
      <c r="AQ175" s="46"/>
      <c r="AR175" s="46"/>
      <c r="AS175" s="46"/>
      <c r="AT175" s="19"/>
      <c r="AU175" s="19"/>
      <c r="AV175" s="19"/>
      <c r="AW175" s="19"/>
      <c r="AX175" s="19"/>
      <c r="AY175" s="19"/>
      <c r="AZ175" s="19"/>
      <c r="BA175" s="19"/>
      <c r="BB175" s="19"/>
      <c r="BC175" s="19"/>
      <c r="BD175" s="19"/>
      <c r="BE175" s="19"/>
      <c r="BF175" s="19"/>
      <c r="BG175" s="19"/>
      <c r="BH175" s="19"/>
      <c r="BI175" s="19"/>
      <c r="BJ175" s="19"/>
    </row>
    <row r="176" spans="21:62" s="1" customFormat="1" ht="12.75" customHeight="1">
      <c r="U176" s="19"/>
      <c r="V176" s="19"/>
      <c r="W176" s="19"/>
      <c r="X176" s="19"/>
      <c r="Y176" s="19"/>
      <c r="Z176" s="19"/>
      <c r="AA176" s="19"/>
      <c r="AB176" s="19"/>
      <c r="AC176" s="19"/>
      <c r="AD176" s="46"/>
      <c r="AE176" s="46"/>
      <c r="AF176" s="46"/>
      <c r="AG176" s="46"/>
      <c r="AH176" s="46"/>
      <c r="AI176" s="46"/>
      <c r="AJ176" s="46"/>
      <c r="AK176" s="46"/>
      <c r="AL176" s="46"/>
      <c r="AM176" s="46"/>
      <c r="AN176" s="46"/>
      <c r="AO176" s="46"/>
      <c r="AP176" s="46"/>
      <c r="AQ176" s="46"/>
      <c r="AR176" s="46"/>
      <c r="AS176" s="46"/>
      <c r="AT176" s="19"/>
      <c r="AU176" s="19"/>
      <c r="AV176" s="19"/>
      <c r="AW176" s="19"/>
      <c r="AX176" s="19"/>
      <c r="AY176" s="19"/>
      <c r="AZ176" s="19"/>
      <c r="BA176" s="19"/>
      <c r="BB176" s="19"/>
      <c r="BC176" s="19"/>
      <c r="BD176" s="19"/>
      <c r="BE176" s="19"/>
      <c r="BF176" s="19"/>
      <c r="BG176" s="19"/>
      <c r="BH176" s="19"/>
      <c r="BI176" s="19"/>
      <c r="BJ176" s="19"/>
    </row>
    <row r="177" spans="21:62" s="1" customFormat="1" ht="12.75" customHeight="1">
      <c r="U177" s="19"/>
      <c r="V177" s="19"/>
      <c r="W177" s="19"/>
      <c r="X177" s="19"/>
      <c r="Y177" s="19"/>
      <c r="Z177" s="19"/>
      <c r="AA177" s="19"/>
      <c r="AB177" s="19"/>
      <c r="AC177" s="19"/>
      <c r="AD177" s="46"/>
      <c r="AE177" s="46"/>
      <c r="AF177" s="46"/>
      <c r="AG177" s="46"/>
      <c r="AH177" s="46"/>
      <c r="AI177" s="46"/>
      <c r="AJ177" s="46"/>
      <c r="AK177" s="46"/>
      <c r="AL177" s="46"/>
      <c r="AM177" s="46"/>
      <c r="AN177" s="46"/>
      <c r="AO177" s="46"/>
      <c r="AP177" s="46"/>
      <c r="AQ177" s="46"/>
      <c r="AR177" s="46"/>
      <c r="AS177" s="46"/>
      <c r="AT177" s="19"/>
      <c r="AU177" s="19"/>
      <c r="AV177" s="19"/>
      <c r="AW177" s="19"/>
      <c r="AX177" s="19"/>
      <c r="AY177" s="19"/>
      <c r="AZ177" s="19"/>
      <c r="BA177" s="19"/>
      <c r="BB177" s="19"/>
      <c r="BC177" s="19"/>
      <c r="BD177" s="19"/>
      <c r="BE177" s="19"/>
      <c r="BF177" s="19"/>
      <c r="BG177" s="19"/>
      <c r="BH177" s="19"/>
      <c r="BI177" s="19"/>
      <c r="BJ177" s="19"/>
    </row>
    <row r="178" spans="21:62" s="1" customFormat="1" ht="12.75" customHeight="1">
      <c r="U178" s="19"/>
      <c r="V178" s="19"/>
      <c r="W178" s="19"/>
      <c r="X178" s="19"/>
      <c r="Y178" s="19"/>
      <c r="Z178" s="19"/>
      <c r="AA178" s="19"/>
      <c r="AB178" s="19"/>
      <c r="AC178" s="19"/>
      <c r="AD178" s="46"/>
      <c r="AE178" s="46"/>
      <c r="AF178" s="46"/>
      <c r="AG178" s="46"/>
      <c r="AH178" s="46"/>
      <c r="AI178" s="46"/>
      <c r="AJ178" s="46"/>
      <c r="AK178" s="46"/>
      <c r="AL178" s="46"/>
      <c r="AM178" s="46"/>
      <c r="AN178" s="46"/>
      <c r="AO178" s="46"/>
      <c r="AP178" s="46"/>
      <c r="AQ178" s="46"/>
      <c r="AR178" s="46"/>
      <c r="AS178" s="46"/>
      <c r="AT178" s="19"/>
      <c r="AU178" s="19"/>
      <c r="AV178" s="19"/>
      <c r="AW178" s="19"/>
      <c r="AX178" s="19"/>
      <c r="AY178" s="19"/>
      <c r="AZ178" s="19"/>
      <c r="BA178" s="19"/>
      <c r="BB178" s="19"/>
      <c r="BC178" s="19"/>
      <c r="BD178" s="19"/>
      <c r="BE178" s="19"/>
      <c r="BF178" s="19"/>
      <c r="BG178" s="19"/>
      <c r="BH178" s="19"/>
      <c r="BI178" s="19"/>
      <c r="BJ178" s="19"/>
    </row>
    <row r="179" spans="21:62" s="1" customFormat="1" ht="12.75" customHeight="1">
      <c r="U179" s="19"/>
      <c r="V179" s="19"/>
      <c r="W179" s="19"/>
      <c r="X179" s="19"/>
      <c r="Y179" s="19"/>
      <c r="Z179" s="19"/>
      <c r="AA179" s="19"/>
      <c r="AB179" s="19"/>
      <c r="AC179" s="19"/>
      <c r="AD179" s="46"/>
      <c r="AE179" s="46"/>
      <c r="AF179" s="46"/>
      <c r="AG179" s="46"/>
      <c r="AH179" s="46"/>
      <c r="AI179" s="46"/>
      <c r="AJ179" s="46"/>
      <c r="AK179" s="46"/>
      <c r="AL179" s="46"/>
      <c r="AM179" s="46"/>
      <c r="AN179" s="46"/>
      <c r="AO179" s="46"/>
      <c r="AP179" s="46"/>
      <c r="AQ179" s="46"/>
      <c r="AR179" s="46"/>
      <c r="AS179" s="46"/>
      <c r="AT179" s="19"/>
      <c r="AU179" s="19"/>
      <c r="AV179" s="19"/>
      <c r="AW179" s="19"/>
      <c r="AX179" s="19"/>
      <c r="AY179" s="19"/>
      <c r="AZ179" s="19"/>
      <c r="BA179" s="19"/>
      <c r="BB179" s="19"/>
      <c r="BC179" s="19"/>
      <c r="BD179" s="19"/>
      <c r="BE179" s="19"/>
      <c r="BF179" s="19"/>
      <c r="BG179" s="19"/>
      <c r="BH179" s="19"/>
      <c r="BI179" s="19"/>
      <c r="BJ179" s="19"/>
    </row>
    <row r="180" spans="21:62" s="1" customFormat="1" ht="12.75" customHeight="1">
      <c r="U180" s="19"/>
      <c r="V180" s="19"/>
      <c r="W180" s="19"/>
      <c r="X180" s="19"/>
      <c r="Y180" s="19"/>
      <c r="Z180" s="19"/>
      <c r="AA180" s="19"/>
      <c r="AB180" s="19"/>
      <c r="AC180" s="19"/>
      <c r="AD180" s="46"/>
      <c r="AE180" s="46"/>
      <c r="AF180" s="46"/>
      <c r="AG180" s="46"/>
      <c r="AH180" s="46"/>
      <c r="AI180" s="46"/>
      <c r="AJ180" s="46"/>
      <c r="AK180" s="46"/>
      <c r="AL180" s="46"/>
      <c r="AM180" s="46"/>
      <c r="AN180" s="46"/>
      <c r="AO180" s="46"/>
      <c r="AP180" s="46"/>
      <c r="AQ180" s="46"/>
      <c r="AR180" s="46"/>
      <c r="AS180" s="46"/>
      <c r="AT180" s="19"/>
      <c r="AU180" s="19"/>
      <c r="AV180" s="19"/>
      <c r="AW180" s="19"/>
      <c r="AX180" s="19"/>
      <c r="AY180" s="19"/>
      <c r="AZ180" s="19"/>
      <c r="BA180" s="19"/>
      <c r="BB180" s="19"/>
      <c r="BC180" s="19"/>
      <c r="BD180" s="19"/>
      <c r="BE180" s="19"/>
      <c r="BF180" s="19"/>
      <c r="BG180" s="19"/>
      <c r="BH180" s="19"/>
      <c r="BI180" s="19"/>
      <c r="BJ180" s="19"/>
    </row>
    <row r="181" spans="21:62" s="1" customFormat="1" ht="12.75" customHeight="1">
      <c r="U181" s="19"/>
      <c r="V181" s="19"/>
      <c r="W181" s="19"/>
      <c r="X181" s="19"/>
      <c r="Y181" s="19"/>
      <c r="Z181" s="19"/>
      <c r="AA181" s="19"/>
      <c r="AB181" s="19"/>
      <c r="AC181" s="19"/>
      <c r="AD181" s="46"/>
      <c r="AE181" s="46"/>
      <c r="AF181" s="46"/>
      <c r="AG181" s="46"/>
      <c r="AH181" s="46"/>
      <c r="AI181" s="46"/>
      <c r="AJ181" s="46"/>
      <c r="AK181" s="46"/>
      <c r="AL181" s="46"/>
      <c r="AM181" s="46"/>
      <c r="AN181" s="46"/>
      <c r="AO181" s="46"/>
      <c r="AP181" s="46"/>
      <c r="AQ181" s="46"/>
      <c r="AR181" s="46"/>
      <c r="AS181" s="46"/>
      <c r="AT181" s="19"/>
      <c r="AU181" s="19"/>
      <c r="AV181" s="19"/>
      <c r="AW181" s="19"/>
      <c r="AX181" s="19"/>
      <c r="AY181" s="19"/>
      <c r="AZ181" s="19"/>
      <c r="BA181" s="19"/>
      <c r="BB181" s="19"/>
      <c r="BC181" s="19"/>
      <c r="BD181" s="19"/>
      <c r="BE181" s="19"/>
      <c r="BF181" s="19"/>
      <c r="BG181" s="19"/>
      <c r="BH181" s="19"/>
      <c r="BI181" s="19"/>
      <c r="BJ181" s="19"/>
    </row>
    <row r="182" spans="21:62" s="1" customFormat="1" ht="12.75" customHeight="1">
      <c r="U182" s="19"/>
      <c r="V182" s="19"/>
      <c r="W182" s="19"/>
      <c r="X182" s="19"/>
      <c r="Y182" s="19"/>
      <c r="Z182" s="19"/>
      <c r="AA182" s="19"/>
      <c r="AB182" s="19"/>
      <c r="AC182" s="19"/>
      <c r="AD182" s="46"/>
      <c r="AE182" s="46"/>
      <c r="AF182" s="46"/>
      <c r="AG182" s="46"/>
      <c r="AH182" s="46"/>
      <c r="AI182" s="46"/>
      <c r="AJ182" s="46"/>
      <c r="AK182" s="46"/>
      <c r="AL182" s="46"/>
      <c r="AM182" s="46"/>
      <c r="AN182" s="46"/>
      <c r="AO182" s="46"/>
      <c r="AP182" s="46"/>
      <c r="AQ182" s="46"/>
      <c r="AR182" s="46"/>
      <c r="AS182" s="46"/>
      <c r="AT182" s="19"/>
      <c r="AU182" s="19"/>
      <c r="AV182" s="19"/>
      <c r="AW182" s="19"/>
      <c r="AX182" s="19"/>
      <c r="AY182" s="19"/>
      <c r="AZ182" s="19"/>
      <c r="BA182" s="19"/>
      <c r="BB182" s="19"/>
      <c r="BC182" s="19"/>
      <c r="BD182" s="19"/>
      <c r="BE182" s="19"/>
      <c r="BF182" s="19"/>
      <c r="BG182" s="19"/>
      <c r="BH182" s="19"/>
      <c r="BI182" s="19"/>
      <c r="BJ182" s="19"/>
    </row>
    <row r="183" spans="21:62" s="1" customFormat="1" ht="12.75" customHeight="1">
      <c r="U183" s="19"/>
      <c r="V183" s="19"/>
      <c r="W183" s="19"/>
      <c r="X183" s="19"/>
      <c r="Y183" s="19"/>
      <c r="Z183" s="19"/>
      <c r="AA183" s="19"/>
      <c r="AB183" s="19"/>
      <c r="AC183" s="19"/>
      <c r="AD183" s="46"/>
      <c r="AE183" s="46"/>
      <c r="AF183" s="46"/>
      <c r="AG183" s="46"/>
      <c r="AH183" s="46"/>
      <c r="AI183" s="46"/>
      <c r="AJ183" s="46"/>
      <c r="AK183" s="46"/>
      <c r="AL183" s="46"/>
      <c r="AM183" s="46"/>
      <c r="AN183" s="46"/>
      <c r="AO183" s="46"/>
      <c r="AP183" s="46"/>
      <c r="AQ183" s="46"/>
      <c r="AR183" s="46"/>
      <c r="AS183" s="46"/>
      <c r="AT183" s="19"/>
      <c r="AU183" s="19"/>
      <c r="AV183" s="19"/>
      <c r="AW183" s="19"/>
      <c r="AX183" s="19"/>
      <c r="AY183" s="19"/>
      <c r="AZ183" s="19"/>
      <c r="BA183" s="19"/>
      <c r="BB183" s="19"/>
      <c r="BC183" s="19"/>
      <c r="BD183" s="19"/>
      <c r="BE183" s="19"/>
      <c r="BF183" s="19"/>
      <c r="BG183" s="19"/>
      <c r="BH183" s="19"/>
      <c r="BI183" s="19"/>
      <c r="BJ183" s="19"/>
    </row>
    <row r="184" spans="21:62" s="1" customFormat="1" ht="12.75" customHeight="1">
      <c r="U184" s="19"/>
      <c r="V184" s="19"/>
      <c r="W184" s="19"/>
      <c r="X184" s="19"/>
      <c r="Y184" s="19"/>
      <c r="Z184" s="19"/>
      <c r="AA184" s="19"/>
      <c r="AB184" s="19"/>
      <c r="AC184" s="19"/>
      <c r="AD184" s="46"/>
      <c r="AE184" s="46"/>
      <c r="AF184" s="46"/>
      <c r="AG184" s="46"/>
      <c r="AH184" s="46"/>
      <c r="AI184" s="46"/>
      <c r="AJ184" s="46"/>
      <c r="AK184" s="46"/>
      <c r="AL184" s="46"/>
      <c r="AM184" s="46"/>
      <c r="AN184" s="46"/>
      <c r="AO184" s="46"/>
      <c r="AP184" s="46"/>
      <c r="AQ184" s="46"/>
      <c r="AR184" s="46"/>
      <c r="AS184" s="46"/>
      <c r="AT184" s="19"/>
      <c r="AU184" s="19"/>
      <c r="AV184" s="19"/>
      <c r="AW184" s="19"/>
      <c r="AX184" s="19"/>
      <c r="AY184" s="19"/>
      <c r="AZ184" s="19"/>
      <c r="BA184" s="19"/>
      <c r="BB184" s="19"/>
      <c r="BC184" s="19"/>
      <c r="BD184" s="19"/>
      <c r="BE184" s="19"/>
      <c r="BF184" s="19"/>
      <c r="BG184" s="19"/>
      <c r="BH184" s="19"/>
      <c r="BI184" s="19"/>
      <c r="BJ184" s="19"/>
    </row>
    <row r="185" spans="21:62" s="1" customFormat="1" ht="12.75" customHeight="1">
      <c r="U185" s="19"/>
      <c r="V185" s="19"/>
      <c r="W185" s="19"/>
      <c r="X185" s="19"/>
      <c r="Y185" s="19"/>
      <c r="Z185" s="19"/>
      <c r="AA185" s="19"/>
      <c r="AB185" s="19"/>
      <c r="AC185" s="19"/>
      <c r="AD185" s="46"/>
      <c r="AE185" s="46"/>
      <c r="AF185" s="46"/>
      <c r="AG185" s="46"/>
      <c r="AH185" s="46"/>
      <c r="AI185" s="46"/>
      <c r="AJ185" s="46"/>
      <c r="AK185" s="46"/>
      <c r="AL185" s="46"/>
      <c r="AM185" s="46"/>
      <c r="AN185" s="46"/>
      <c r="AO185" s="46"/>
      <c r="AP185" s="46"/>
      <c r="AQ185" s="46"/>
      <c r="AR185" s="46"/>
      <c r="AS185" s="46"/>
      <c r="AT185" s="19"/>
      <c r="AU185" s="19"/>
      <c r="AV185" s="19"/>
      <c r="AW185" s="19"/>
      <c r="AX185" s="19"/>
      <c r="AY185" s="19"/>
      <c r="AZ185" s="19"/>
      <c r="BA185" s="19"/>
      <c r="BB185" s="19"/>
      <c r="BC185" s="19"/>
      <c r="BD185" s="19"/>
      <c r="BE185" s="19"/>
      <c r="BF185" s="19"/>
      <c r="BG185" s="19"/>
      <c r="BH185" s="19"/>
      <c r="BI185" s="19"/>
      <c r="BJ185" s="19"/>
    </row>
    <row r="186" spans="21:62" s="1" customFormat="1" ht="12.75" customHeight="1">
      <c r="U186" s="19"/>
      <c r="V186" s="19"/>
      <c r="W186" s="19"/>
      <c r="X186" s="19"/>
      <c r="Y186" s="19"/>
      <c r="Z186" s="19"/>
      <c r="AA186" s="19"/>
      <c r="AB186" s="19"/>
      <c r="AC186" s="19"/>
      <c r="AD186" s="46"/>
      <c r="AE186" s="46"/>
      <c r="AF186" s="46"/>
      <c r="AG186" s="46"/>
      <c r="AH186" s="46"/>
      <c r="AI186" s="46"/>
      <c r="AJ186" s="46"/>
      <c r="AK186" s="46"/>
      <c r="AL186" s="46"/>
      <c r="AM186" s="46"/>
      <c r="AN186" s="46"/>
      <c r="AO186" s="46"/>
      <c r="AP186" s="46"/>
      <c r="AQ186" s="46"/>
      <c r="AR186" s="46"/>
      <c r="AS186" s="46"/>
      <c r="AT186" s="19"/>
      <c r="AU186" s="19"/>
      <c r="AV186" s="19"/>
      <c r="AW186" s="19"/>
      <c r="AX186" s="19"/>
      <c r="AY186" s="19"/>
      <c r="AZ186" s="19"/>
      <c r="BA186" s="19"/>
      <c r="BB186" s="19"/>
      <c r="BC186" s="19"/>
      <c r="BD186" s="19"/>
      <c r="BE186" s="19"/>
      <c r="BF186" s="19"/>
      <c r="BG186" s="19"/>
      <c r="BH186" s="19"/>
      <c r="BI186" s="19"/>
      <c r="BJ186" s="19"/>
    </row>
    <row r="187" spans="21:62" s="1" customFormat="1" ht="12.75" customHeight="1">
      <c r="U187" s="19"/>
      <c r="V187" s="19"/>
      <c r="W187" s="19"/>
      <c r="X187" s="19"/>
      <c r="Y187" s="19"/>
      <c r="Z187" s="19"/>
      <c r="AA187" s="19"/>
      <c r="AB187" s="19"/>
      <c r="AC187" s="19"/>
      <c r="AD187" s="46"/>
      <c r="AE187" s="46"/>
      <c r="AF187" s="46"/>
      <c r="AG187" s="46"/>
      <c r="AH187" s="46"/>
      <c r="AI187" s="46"/>
      <c r="AJ187" s="46"/>
      <c r="AK187" s="46"/>
      <c r="AL187" s="46"/>
      <c r="AM187" s="46"/>
      <c r="AN187" s="46"/>
      <c r="AO187" s="46"/>
      <c r="AP187" s="46"/>
      <c r="AQ187" s="46"/>
      <c r="AR187" s="46"/>
      <c r="AS187" s="46"/>
      <c r="AT187" s="19"/>
      <c r="AU187" s="19"/>
      <c r="AV187" s="19"/>
      <c r="AW187" s="19"/>
      <c r="AX187" s="19"/>
      <c r="AY187" s="19"/>
      <c r="AZ187" s="19"/>
      <c r="BA187" s="19"/>
      <c r="BB187" s="19"/>
      <c r="BC187" s="19"/>
      <c r="BD187" s="19"/>
      <c r="BE187" s="19"/>
      <c r="BF187" s="19"/>
      <c r="BG187" s="19"/>
      <c r="BH187" s="19"/>
      <c r="BI187" s="19"/>
      <c r="BJ187" s="19"/>
    </row>
    <row r="188" spans="21:62" s="1" customFormat="1" ht="12.75" customHeight="1">
      <c r="U188" s="19"/>
      <c r="V188" s="19"/>
      <c r="W188" s="19"/>
      <c r="X188" s="19"/>
      <c r="Y188" s="19"/>
      <c r="Z188" s="19"/>
      <c r="AA188" s="19"/>
      <c r="AB188" s="19"/>
      <c r="AC188" s="19"/>
      <c r="AD188" s="46"/>
      <c r="AE188" s="46"/>
      <c r="AF188" s="46"/>
      <c r="AG188" s="46"/>
      <c r="AH188" s="46"/>
      <c r="AI188" s="46"/>
      <c r="AJ188" s="46"/>
      <c r="AK188" s="46"/>
      <c r="AL188" s="46"/>
      <c r="AM188" s="46"/>
      <c r="AN188" s="46"/>
      <c r="AO188" s="46"/>
      <c r="AP188" s="46"/>
      <c r="AQ188" s="46"/>
      <c r="AR188" s="46"/>
      <c r="AS188" s="46"/>
      <c r="AT188" s="19"/>
      <c r="AU188" s="19"/>
      <c r="AV188" s="19"/>
      <c r="AW188" s="19"/>
      <c r="AX188" s="19"/>
      <c r="AY188" s="19"/>
      <c r="AZ188" s="19"/>
      <c r="BA188" s="19"/>
      <c r="BB188" s="19"/>
      <c r="BC188" s="19"/>
      <c r="BD188" s="19"/>
      <c r="BE188" s="19"/>
      <c r="BF188" s="19"/>
      <c r="BG188" s="19"/>
      <c r="BH188" s="19"/>
      <c r="BI188" s="19"/>
      <c r="BJ188" s="19"/>
    </row>
    <row r="189" spans="21:62" s="1" customFormat="1" ht="12.75" customHeight="1">
      <c r="U189" s="19"/>
      <c r="V189" s="19"/>
      <c r="W189" s="19"/>
      <c r="X189" s="19"/>
      <c r="Y189" s="19"/>
      <c r="Z189" s="19"/>
      <c r="AA189" s="19"/>
      <c r="AB189" s="19"/>
      <c r="AC189" s="19"/>
      <c r="AD189" s="46"/>
      <c r="AE189" s="46"/>
      <c r="AF189" s="46"/>
      <c r="AG189" s="46"/>
      <c r="AH189" s="46"/>
      <c r="AI189" s="46"/>
      <c r="AJ189" s="46"/>
      <c r="AK189" s="46"/>
      <c r="AL189" s="46"/>
      <c r="AM189" s="46"/>
      <c r="AN189" s="46"/>
      <c r="AO189" s="46"/>
      <c r="AP189" s="46"/>
      <c r="AQ189" s="46"/>
      <c r="AR189" s="46"/>
      <c r="AS189" s="46"/>
      <c r="AT189" s="19"/>
      <c r="AU189" s="19"/>
      <c r="AV189" s="19"/>
      <c r="AW189" s="19"/>
      <c r="AX189" s="19"/>
      <c r="AY189" s="19"/>
      <c r="AZ189" s="19"/>
      <c r="BA189" s="19"/>
      <c r="BB189" s="19"/>
      <c r="BC189" s="19"/>
      <c r="BD189" s="19"/>
      <c r="BE189" s="19"/>
      <c r="BF189" s="19"/>
      <c r="BG189" s="19"/>
      <c r="BH189" s="19"/>
      <c r="BI189" s="19"/>
      <c r="BJ189" s="19"/>
    </row>
    <row r="190" spans="21:62" s="1" customFormat="1" ht="12.75" customHeight="1">
      <c r="U190" s="19"/>
      <c r="V190" s="19"/>
      <c r="W190" s="19"/>
      <c r="X190" s="19"/>
      <c r="Y190" s="19"/>
      <c r="Z190" s="19"/>
      <c r="AA190" s="19"/>
      <c r="AB190" s="19"/>
      <c r="AC190" s="19"/>
      <c r="AD190" s="46"/>
      <c r="AE190" s="46"/>
      <c r="AF190" s="46"/>
      <c r="AG190" s="46"/>
      <c r="AH190" s="46"/>
      <c r="AI190" s="46"/>
      <c r="AJ190" s="46"/>
      <c r="AK190" s="46"/>
      <c r="AL190" s="46"/>
      <c r="AM190" s="46"/>
      <c r="AN190" s="46"/>
      <c r="AO190" s="46"/>
      <c r="AP190" s="46"/>
      <c r="AQ190" s="46"/>
      <c r="AR190" s="46"/>
      <c r="AS190" s="46"/>
      <c r="AT190" s="19"/>
      <c r="AU190" s="19"/>
      <c r="AV190" s="19"/>
      <c r="AW190" s="19"/>
      <c r="AX190" s="19"/>
      <c r="AY190" s="19"/>
      <c r="AZ190" s="19"/>
      <c r="BA190" s="19"/>
      <c r="BB190" s="19"/>
      <c r="BC190" s="19"/>
      <c r="BD190" s="19"/>
      <c r="BE190" s="19"/>
      <c r="BF190" s="19"/>
      <c r="BG190" s="19"/>
      <c r="BH190" s="19"/>
      <c r="BI190" s="19"/>
      <c r="BJ190" s="19"/>
    </row>
    <row r="191" spans="21:62" s="1" customFormat="1" ht="12.75" customHeight="1">
      <c r="U191" s="19"/>
      <c r="V191" s="19"/>
      <c r="W191" s="19"/>
      <c r="X191" s="19"/>
      <c r="Y191" s="19"/>
      <c r="Z191" s="19"/>
      <c r="AA191" s="19"/>
      <c r="AB191" s="19"/>
      <c r="AC191" s="19"/>
      <c r="AD191" s="46"/>
      <c r="AE191" s="46"/>
      <c r="AF191" s="46"/>
      <c r="AG191" s="46"/>
      <c r="AH191" s="46"/>
      <c r="AI191" s="46"/>
      <c r="AJ191" s="46"/>
      <c r="AK191" s="46"/>
      <c r="AL191" s="46"/>
      <c r="AM191" s="46"/>
      <c r="AN191" s="46"/>
      <c r="AO191" s="46"/>
      <c r="AP191" s="46"/>
      <c r="AQ191" s="46"/>
      <c r="AR191" s="46"/>
      <c r="AS191" s="46"/>
      <c r="AT191" s="19"/>
      <c r="AU191" s="19"/>
      <c r="AV191" s="19"/>
      <c r="AW191" s="19"/>
      <c r="AX191" s="19"/>
      <c r="AY191" s="19"/>
      <c r="AZ191" s="19"/>
      <c r="BA191" s="19"/>
      <c r="BB191" s="19"/>
      <c r="BC191" s="19"/>
      <c r="BD191" s="19"/>
      <c r="BE191" s="19"/>
      <c r="BF191" s="19"/>
      <c r="BG191" s="19"/>
      <c r="BH191" s="19"/>
      <c r="BI191" s="19"/>
      <c r="BJ191" s="19"/>
    </row>
    <row r="192" spans="21:62" s="1" customFormat="1" ht="12.75" customHeight="1">
      <c r="U192" s="19"/>
      <c r="V192" s="19"/>
      <c r="W192" s="19"/>
      <c r="X192" s="19"/>
      <c r="Y192" s="19"/>
      <c r="Z192" s="19"/>
      <c r="AA192" s="19"/>
      <c r="AB192" s="19"/>
      <c r="AC192" s="19"/>
      <c r="AD192" s="46"/>
      <c r="AE192" s="46"/>
      <c r="AF192" s="46"/>
      <c r="AG192" s="46"/>
      <c r="AH192" s="46"/>
      <c r="AI192" s="46"/>
      <c r="AJ192" s="46"/>
      <c r="AK192" s="46"/>
      <c r="AL192" s="46"/>
      <c r="AM192" s="46"/>
      <c r="AN192" s="46"/>
      <c r="AO192" s="46"/>
      <c r="AP192" s="46"/>
      <c r="AQ192" s="46"/>
      <c r="AR192" s="46"/>
      <c r="AS192" s="46"/>
      <c r="AT192" s="19"/>
      <c r="AU192" s="19"/>
      <c r="AV192" s="19"/>
      <c r="AW192" s="19"/>
      <c r="AX192" s="19"/>
      <c r="AY192" s="19"/>
      <c r="AZ192" s="19"/>
      <c r="BA192" s="19"/>
      <c r="BB192" s="19"/>
      <c r="BC192" s="19"/>
      <c r="BD192" s="19"/>
      <c r="BE192" s="19"/>
      <c r="BF192" s="19"/>
      <c r="BG192" s="19"/>
      <c r="BH192" s="19"/>
      <c r="BI192" s="19"/>
      <c r="BJ192" s="19"/>
    </row>
    <row r="193" spans="21:62" s="1" customFormat="1" ht="12.75" customHeight="1">
      <c r="U193" s="19"/>
      <c r="V193" s="19"/>
      <c r="W193" s="19"/>
      <c r="X193" s="19"/>
      <c r="Y193" s="19"/>
      <c r="Z193" s="19"/>
      <c r="AA193" s="19"/>
      <c r="AB193" s="19"/>
      <c r="AC193" s="19"/>
      <c r="AD193" s="46"/>
      <c r="AE193" s="46"/>
      <c r="AF193" s="46"/>
      <c r="AG193" s="46"/>
      <c r="AH193" s="46"/>
      <c r="AI193" s="46"/>
      <c r="AJ193" s="46"/>
      <c r="AK193" s="46"/>
      <c r="AL193" s="46"/>
      <c r="AM193" s="46"/>
      <c r="AN193" s="46"/>
      <c r="AO193" s="46"/>
      <c r="AP193" s="46"/>
      <c r="AQ193" s="46"/>
      <c r="AR193" s="46"/>
      <c r="AS193" s="46"/>
      <c r="AT193" s="19"/>
      <c r="AU193" s="19"/>
      <c r="AV193" s="19"/>
      <c r="AW193" s="19"/>
      <c r="AX193" s="19"/>
      <c r="AY193" s="19"/>
      <c r="AZ193" s="19"/>
      <c r="BA193" s="19"/>
      <c r="BB193" s="19"/>
      <c r="BC193" s="19"/>
      <c r="BD193" s="19"/>
      <c r="BE193" s="19"/>
      <c r="BF193" s="19"/>
      <c r="BG193" s="19"/>
      <c r="BH193" s="19"/>
      <c r="BI193" s="19"/>
      <c r="BJ193" s="19"/>
    </row>
    <row r="194" spans="21:62" s="1" customFormat="1" ht="12.75" customHeight="1">
      <c r="U194" s="19"/>
      <c r="V194" s="19"/>
      <c r="W194" s="19"/>
      <c r="X194" s="19"/>
      <c r="Y194" s="19"/>
      <c r="Z194" s="19"/>
      <c r="AA194" s="19"/>
      <c r="AB194" s="19"/>
      <c r="AC194" s="19"/>
      <c r="AD194" s="46"/>
      <c r="AE194" s="46"/>
      <c r="AF194" s="46"/>
      <c r="AG194" s="46"/>
      <c r="AH194" s="46"/>
      <c r="AI194" s="46"/>
      <c r="AJ194" s="46"/>
      <c r="AK194" s="46"/>
      <c r="AL194" s="46"/>
      <c r="AM194" s="46"/>
      <c r="AN194" s="46"/>
      <c r="AO194" s="46"/>
      <c r="AP194" s="46"/>
      <c r="AQ194" s="46"/>
      <c r="AR194" s="46"/>
      <c r="AS194" s="46"/>
      <c r="AT194" s="19"/>
      <c r="AU194" s="19"/>
      <c r="AV194" s="19"/>
      <c r="AW194" s="19"/>
      <c r="AX194" s="19"/>
      <c r="AY194" s="19"/>
      <c r="AZ194" s="19"/>
      <c r="BA194" s="19"/>
      <c r="BB194" s="19"/>
      <c r="BC194" s="19"/>
      <c r="BD194" s="19"/>
      <c r="BE194" s="19"/>
      <c r="BF194" s="19"/>
      <c r="BG194" s="19"/>
      <c r="BH194" s="19"/>
      <c r="BI194" s="19"/>
      <c r="BJ194" s="19"/>
    </row>
    <row r="195" spans="21:62" s="1" customFormat="1" ht="12.75" customHeight="1">
      <c r="U195" s="19"/>
      <c r="V195" s="19"/>
      <c r="W195" s="19"/>
      <c r="X195" s="19"/>
      <c r="Y195" s="19"/>
      <c r="Z195" s="19"/>
      <c r="AA195" s="19"/>
      <c r="AB195" s="19"/>
      <c r="AC195" s="19"/>
      <c r="AD195" s="46"/>
      <c r="AE195" s="46"/>
      <c r="AF195" s="46"/>
      <c r="AG195" s="46"/>
      <c r="AH195" s="46"/>
      <c r="AI195" s="46"/>
      <c r="AJ195" s="46"/>
      <c r="AK195" s="46"/>
      <c r="AL195" s="46"/>
      <c r="AM195" s="46"/>
      <c r="AN195" s="46"/>
      <c r="AO195" s="46"/>
      <c r="AP195" s="46"/>
      <c r="AQ195" s="46"/>
      <c r="AR195" s="46"/>
      <c r="AS195" s="46"/>
      <c r="AT195" s="19"/>
      <c r="AU195" s="19"/>
      <c r="AV195" s="19"/>
      <c r="AW195" s="19"/>
      <c r="AX195" s="19"/>
      <c r="AY195" s="19"/>
      <c r="AZ195" s="19"/>
      <c r="BA195" s="19"/>
      <c r="BB195" s="19"/>
      <c r="BC195" s="19"/>
      <c r="BD195" s="19"/>
      <c r="BE195" s="19"/>
      <c r="BF195" s="19"/>
      <c r="BG195" s="19"/>
      <c r="BH195" s="19"/>
      <c r="BI195" s="19"/>
      <c r="BJ195" s="19"/>
    </row>
    <row r="196" spans="21:62" s="1" customFormat="1" ht="12.75" customHeight="1">
      <c r="U196" s="19"/>
      <c r="V196" s="19"/>
      <c r="W196" s="19"/>
      <c r="X196" s="19"/>
      <c r="Y196" s="19"/>
      <c r="Z196" s="19"/>
      <c r="AA196" s="19"/>
      <c r="AB196" s="19"/>
      <c r="AC196" s="19"/>
      <c r="AD196" s="46"/>
      <c r="AE196" s="46"/>
      <c r="AF196" s="46"/>
      <c r="AG196" s="46"/>
      <c r="AH196" s="46"/>
      <c r="AI196" s="46"/>
      <c r="AJ196" s="46"/>
      <c r="AK196" s="46"/>
      <c r="AL196" s="46"/>
      <c r="AM196" s="46"/>
      <c r="AN196" s="46"/>
      <c r="AO196" s="46"/>
      <c r="AP196" s="46"/>
      <c r="AQ196" s="46"/>
      <c r="AR196" s="46"/>
      <c r="AS196" s="46"/>
      <c r="AT196" s="19"/>
      <c r="AU196" s="19"/>
      <c r="AV196" s="19"/>
      <c r="AW196" s="19"/>
      <c r="AX196" s="19"/>
      <c r="AY196" s="19"/>
      <c r="AZ196" s="19"/>
      <c r="BA196" s="19"/>
      <c r="BB196" s="19"/>
      <c r="BC196" s="19"/>
      <c r="BD196" s="19"/>
      <c r="BE196" s="19"/>
      <c r="BF196" s="19"/>
      <c r="BG196" s="19"/>
      <c r="BH196" s="19"/>
      <c r="BI196" s="19"/>
      <c r="BJ196" s="19"/>
    </row>
    <row r="197" spans="21:62" s="1" customFormat="1" ht="12.75" customHeight="1">
      <c r="U197" s="19"/>
      <c r="V197" s="19"/>
      <c r="W197" s="19"/>
      <c r="X197" s="19"/>
      <c r="Y197" s="19"/>
      <c r="Z197" s="19"/>
      <c r="AA197" s="19"/>
      <c r="AB197" s="19"/>
      <c r="AC197" s="19"/>
      <c r="AD197" s="46"/>
      <c r="AE197" s="46"/>
      <c r="AF197" s="46"/>
      <c r="AG197" s="46"/>
      <c r="AH197" s="46"/>
      <c r="AI197" s="46"/>
      <c r="AJ197" s="46"/>
      <c r="AK197" s="46"/>
      <c r="AL197" s="46"/>
      <c r="AM197" s="46"/>
      <c r="AN197" s="46"/>
      <c r="AO197" s="46"/>
      <c r="AP197" s="46"/>
      <c r="AQ197" s="46"/>
      <c r="AR197" s="46"/>
      <c r="AS197" s="46"/>
      <c r="AT197" s="19"/>
      <c r="AU197" s="19"/>
      <c r="AV197" s="19"/>
      <c r="AW197" s="19"/>
      <c r="AX197" s="19"/>
      <c r="AY197" s="19"/>
      <c r="AZ197" s="19"/>
      <c r="BA197" s="19"/>
      <c r="BB197" s="19"/>
      <c r="BC197" s="19"/>
      <c r="BD197" s="19"/>
      <c r="BE197" s="19"/>
      <c r="BF197" s="19"/>
      <c r="BG197" s="19"/>
      <c r="BH197" s="19"/>
      <c r="BI197" s="19"/>
      <c r="BJ197" s="19"/>
    </row>
    <row r="198" spans="21:62" s="1" customFormat="1" ht="12.75" customHeight="1">
      <c r="U198" s="19"/>
      <c r="V198" s="19"/>
      <c r="W198" s="19"/>
      <c r="X198" s="19"/>
      <c r="Y198" s="19"/>
      <c r="Z198" s="19"/>
      <c r="AA198" s="19"/>
      <c r="AB198" s="19"/>
      <c r="AC198" s="19"/>
      <c r="AD198" s="46"/>
      <c r="AE198" s="46"/>
      <c r="AF198" s="46"/>
      <c r="AG198" s="46"/>
      <c r="AH198" s="46"/>
      <c r="AI198" s="46"/>
      <c r="AJ198" s="46"/>
      <c r="AK198" s="46"/>
      <c r="AL198" s="46"/>
      <c r="AM198" s="46"/>
      <c r="AN198" s="46"/>
      <c r="AO198" s="46"/>
      <c r="AP198" s="46"/>
      <c r="AQ198" s="46"/>
      <c r="AR198" s="46"/>
      <c r="AS198" s="46"/>
      <c r="AT198" s="19"/>
      <c r="AU198" s="19"/>
      <c r="AV198" s="19"/>
      <c r="AW198" s="19"/>
      <c r="AX198" s="19"/>
      <c r="AY198" s="19"/>
      <c r="AZ198" s="19"/>
      <c r="BA198" s="19"/>
      <c r="BB198" s="19"/>
      <c r="BC198" s="19"/>
      <c r="BD198" s="19"/>
      <c r="BE198" s="19"/>
      <c r="BF198" s="19"/>
      <c r="BG198" s="19"/>
      <c r="BH198" s="19"/>
      <c r="BI198" s="19"/>
      <c r="BJ198" s="19"/>
    </row>
    <row r="199" spans="21:62" s="1" customFormat="1" ht="12.75" customHeight="1">
      <c r="U199" s="19"/>
      <c r="V199" s="19"/>
      <c r="W199" s="19"/>
      <c r="X199" s="19"/>
      <c r="Y199" s="19"/>
      <c r="Z199" s="19"/>
      <c r="AA199" s="19"/>
      <c r="AB199" s="19"/>
      <c r="AC199" s="19"/>
      <c r="AD199" s="46"/>
      <c r="AE199" s="46"/>
      <c r="AF199" s="46"/>
      <c r="AG199" s="46"/>
      <c r="AH199" s="46"/>
      <c r="AI199" s="46"/>
      <c r="AJ199" s="46"/>
      <c r="AK199" s="46"/>
      <c r="AL199" s="46"/>
      <c r="AM199" s="46"/>
      <c r="AN199" s="46"/>
      <c r="AO199" s="46"/>
      <c r="AP199" s="46"/>
      <c r="AQ199" s="46"/>
      <c r="AR199" s="46"/>
      <c r="AS199" s="46"/>
      <c r="AT199" s="19"/>
      <c r="AU199" s="19"/>
      <c r="AV199" s="19"/>
      <c r="AW199" s="19"/>
      <c r="AX199" s="19"/>
      <c r="AY199" s="19"/>
      <c r="AZ199" s="19"/>
      <c r="BA199" s="19"/>
      <c r="BB199" s="19"/>
      <c r="BC199" s="19"/>
      <c r="BD199" s="19"/>
      <c r="BE199" s="19"/>
      <c r="BF199" s="19"/>
      <c r="BG199" s="19"/>
      <c r="BH199" s="19"/>
      <c r="BI199" s="19"/>
      <c r="BJ199" s="19"/>
    </row>
    <row r="200" spans="21:62" s="1" customFormat="1" ht="12.75" customHeight="1">
      <c r="U200" s="19"/>
      <c r="V200" s="19"/>
      <c r="W200" s="19"/>
      <c r="X200" s="19"/>
      <c r="Y200" s="19"/>
      <c r="Z200" s="19"/>
      <c r="AA200" s="19"/>
      <c r="AB200" s="19"/>
      <c r="AC200" s="19"/>
      <c r="AD200" s="46"/>
      <c r="AE200" s="46"/>
      <c r="AF200" s="46"/>
      <c r="AG200" s="46"/>
      <c r="AH200" s="46"/>
      <c r="AI200" s="46"/>
      <c r="AJ200" s="46"/>
      <c r="AK200" s="46"/>
      <c r="AL200" s="46"/>
      <c r="AM200" s="46"/>
      <c r="AN200" s="46"/>
      <c r="AO200" s="46"/>
      <c r="AP200" s="46"/>
      <c r="AQ200" s="46"/>
      <c r="AR200" s="46"/>
      <c r="AS200" s="46"/>
      <c r="AT200" s="19"/>
      <c r="AU200" s="19"/>
      <c r="AV200" s="19"/>
      <c r="AW200" s="19"/>
      <c r="AX200" s="19"/>
      <c r="AY200" s="19"/>
      <c r="AZ200" s="19"/>
      <c r="BA200" s="19"/>
      <c r="BB200" s="19"/>
      <c r="BC200" s="19"/>
      <c r="BD200" s="19"/>
      <c r="BE200" s="19"/>
      <c r="BF200" s="19"/>
      <c r="BG200" s="19"/>
      <c r="BH200" s="19"/>
      <c r="BI200" s="19"/>
      <c r="BJ200" s="19"/>
    </row>
    <row r="201" spans="21:62" s="1" customFormat="1" ht="12.75" customHeight="1">
      <c r="U201" s="19"/>
      <c r="V201" s="19"/>
      <c r="W201" s="19"/>
      <c r="X201" s="19"/>
      <c r="Y201" s="19"/>
      <c r="Z201" s="19"/>
      <c r="AA201" s="19"/>
      <c r="AB201" s="19"/>
      <c r="AC201" s="19"/>
      <c r="AD201" s="46"/>
      <c r="AE201" s="46"/>
      <c r="AF201" s="46"/>
      <c r="AG201" s="46"/>
      <c r="AH201" s="46"/>
      <c r="AI201" s="46"/>
      <c r="AJ201" s="46"/>
      <c r="AK201" s="46"/>
      <c r="AL201" s="46"/>
      <c r="AM201" s="46"/>
      <c r="AN201" s="46"/>
      <c r="AO201" s="46"/>
      <c r="AP201" s="46"/>
      <c r="AQ201" s="46"/>
      <c r="AR201" s="46"/>
      <c r="AS201" s="46"/>
      <c r="AT201" s="19"/>
      <c r="AU201" s="19"/>
      <c r="AV201" s="19"/>
      <c r="AW201" s="19"/>
      <c r="AX201" s="19"/>
      <c r="AY201" s="19"/>
      <c r="AZ201" s="19"/>
      <c r="BA201" s="19"/>
      <c r="BB201" s="19"/>
      <c r="BC201" s="19"/>
      <c r="BD201" s="19"/>
      <c r="BE201" s="19"/>
      <c r="BF201" s="19"/>
      <c r="BG201" s="19"/>
      <c r="BH201" s="19"/>
      <c r="BI201" s="19"/>
      <c r="BJ201" s="19"/>
    </row>
    <row r="202" spans="21:62" s="1" customFormat="1" ht="12.75" customHeight="1">
      <c r="U202" s="19"/>
      <c r="V202" s="19"/>
      <c r="W202" s="19"/>
      <c r="X202" s="19"/>
      <c r="Y202" s="19"/>
      <c r="Z202" s="19"/>
      <c r="AA202" s="19"/>
      <c r="AB202" s="19"/>
      <c r="AC202" s="19"/>
      <c r="AD202" s="46"/>
      <c r="AE202" s="46"/>
      <c r="AF202" s="46"/>
      <c r="AG202" s="46"/>
      <c r="AH202" s="46"/>
      <c r="AI202" s="46"/>
      <c r="AJ202" s="46"/>
      <c r="AK202" s="46"/>
      <c r="AL202" s="46"/>
      <c r="AM202" s="46"/>
      <c r="AN202" s="46"/>
      <c r="AO202" s="46"/>
      <c r="AP202" s="46"/>
      <c r="AQ202" s="46"/>
      <c r="AR202" s="46"/>
      <c r="AS202" s="46"/>
      <c r="AT202" s="19"/>
      <c r="AU202" s="19"/>
      <c r="AV202" s="19"/>
      <c r="AW202" s="19"/>
      <c r="AX202" s="19"/>
      <c r="AY202" s="19"/>
      <c r="AZ202" s="19"/>
      <c r="BA202" s="19"/>
      <c r="BB202" s="19"/>
      <c r="BC202" s="19"/>
      <c r="BD202" s="19"/>
      <c r="BE202" s="19"/>
      <c r="BF202" s="19"/>
      <c r="BG202" s="19"/>
      <c r="BH202" s="19"/>
      <c r="BI202" s="19"/>
      <c r="BJ202" s="19"/>
    </row>
    <row r="203" spans="21:62" s="1" customFormat="1" ht="12.75" customHeight="1">
      <c r="U203" s="19"/>
      <c r="V203" s="19"/>
      <c r="W203" s="19"/>
      <c r="X203" s="19"/>
      <c r="Y203" s="19"/>
      <c r="Z203" s="19"/>
      <c r="AA203" s="19"/>
      <c r="AB203" s="19"/>
      <c r="AC203" s="19"/>
      <c r="AD203" s="46"/>
      <c r="AE203" s="46"/>
      <c r="AF203" s="46"/>
      <c r="AG203" s="46"/>
      <c r="AH203" s="46"/>
      <c r="AI203" s="46"/>
      <c r="AJ203" s="46"/>
      <c r="AK203" s="46"/>
      <c r="AL203" s="46"/>
      <c r="AM203" s="46"/>
      <c r="AN203" s="46"/>
      <c r="AO203" s="46"/>
      <c r="AP203" s="46"/>
      <c r="AQ203" s="46"/>
      <c r="AR203" s="46"/>
      <c r="AS203" s="46"/>
      <c r="AT203" s="19"/>
      <c r="AU203" s="19"/>
      <c r="AV203" s="19"/>
      <c r="AW203" s="19"/>
      <c r="AX203" s="19"/>
      <c r="AY203" s="19"/>
      <c r="AZ203" s="19"/>
      <c r="BA203" s="19"/>
      <c r="BB203" s="19"/>
      <c r="BC203" s="19"/>
      <c r="BD203" s="19"/>
      <c r="BE203" s="19"/>
      <c r="BF203" s="19"/>
      <c r="BG203" s="19"/>
      <c r="BH203" s="19"/>
      <c r="BI203" s="19"/>
      <c r="BJ203" s="19"/>
    </row>
    <row r="204" spans="21:62" s="1" customFormat="1" ht="12.75" customHeight="1">
      <c r="U204" s="19"/>
      <c r="V204" s="19"/>
      <c r="W204" s="19"/>
      <c r="X204" s="19"/>
      <c r="Y204" s="19"/>
      <c r="Z204" s="19"/>
      <c r="AA204" s="19"/>
      <c r="AB204" s="19"/>
      <c r="AC204" s="19"/>
      <c r="AD204" s="46"/>
      <c r="AE204" s="46"/>
      <c r="AF204" s="46"/>
      <c r="AG204" s="46"/>
      <c r="AH204" s="46"/>
      <c r="AI204" s="46"/>
      <c r="AJ204" s="46"/>
      <c r="AK204" s="46"/>
      <c r="AL204" s="46"/>
      <c r="AM204" s="46"/>
      <c r="AN204" s="46"/>
      <c r="AO204" s="46"/>
      <c r="AP204" s="46"/>
      <c r="AQ204" s="46"/>
      <c r="AR204" s="46"/>
      <c r="AS204" s="46"/>
      <c r="AT204" s="19"/>
      <c r="AU204" s="19"/>
      <c r="AV204" s="19"/>
      <c r="AW204" s="19"/>
      <c r="AX204" s="19"/>
      <c r="AY204" s="19"/>
      <c r="AZ204" s="19"/>
      <c r="BA204" s="19"/>
      <c r="BB204" s="19"/>
      <c r="BC204" s="19"/>
      <c r="BD204" s="19"/>
      <c r="BE204" s="19"/>
      <c r="BF204" s="19"/>
      <c r="BG204" s="19"/>
      <c r="BH204" s="19"/>
      <c r="BI204" s="19"/>
      <c r="BJ204" s="19"/>
    </row>
    <row r="205" spans="21:62" s="1" customFormat="1" ht="12.75" customHeight="1">
      <c r="U205" s="19"/>
      <c r="V205" s="19"/>
      <c r="W205" s="19"/>
      <c r="X205" s="19"/>
      <c r="Y205" s="19"/>
      <c r="Z205" s="19"/>
      <c r="AA205" s="19"/>
      <c r="AB205" s="19"/>
      <c r="AC205" s="19"/>
      <c r="AD205" s="46"/>
      <c r="AE205" s="46"/>
      <c r="AF205" s="46"/>
      <c r="AG205" s="46"/>
      <c r="AH205" s="46"/>
      <c r="AI205" s="46"/>
      <c r="AJ205" s="46"/>
      <c r="AK205" s="46"/>
      <c r="AL205" s="46"/>
      <c r="AM205" s="46"/>
      <c r="AN205" s="46"/>
      <c r="AO205" s="46"/>
      <c r="AP205" s="46"/>
      <c r="AQ205" s="46"/>
      <c r="AR205" s="46"/>
      <c r="AS205" s="46"/>
      <c r="AT205" s="19"/>
      <c r="AU205" s="19"/>
      <c r="AV205" s="19"/>
      <c r="AW205" s="19"/>
      <c r="AX205" s="19"/>
      <c r="AY205" s="19"/>
      <c r="AZ205" s="19"/>
      <c r="BA205" s="19"/>
      <c r="BB205" s="19"/>
      <c r="BC205" s="19"/>
      <c r="BD205" s="19"/>
      <c r="BE205" s="19"/>
      <c r="BF205" s="19"/>
      <c r="BG205" s="19"/>
      <c r="BH205" s="19"/>
      <c r="BI205" s="19"/>
      <c r="BJ205" s="19"/>
    </row>
    <row r="206" spans="21:62" s="1" customFormat="1" ht="12.75" customHeight="1">
      <c r="U206" s="19"/>
      <c r="V206" s="19"/>
      <c r="W206" s="19"/>
      <c r="X206" s="19"/>
      <c r="Y206" s="19"/>
      <c r="Z206" s="19"/>
      <c r="AA206" s="19"/>
      <c r="AB206" s="19"/>
      <c r="AC206" s="19"/>
      <c r="AD206" s="46"/>
      <c r="AE206" s="46"/>
      <c r="AF206" s="46"/>
      <c r="AG206" s="46"/>
      <c r="AH206" s="46"/>
      <c r="AI206" s="46"/>
      <c r="AJ206" s="46"/>
      <c r="AK206" s="46"/>
      <c r="AL206" s="46"/>
      <c r="AM206" s="46"/>
      <c r="AN206" s="46"/>
      <c r="AO206" s="46"/>
      <c r="AP206" s="46"/>
      <c r="AQ206" s="46"/>
      <c r="AR206" s="46"/>
      <c r="AS206" s="46"/>
      <c r="AT206" s="19"/>
      <c r="AU206" s="19"/>
      <c r="AV206" s="19"/>
      <c r="AW206" s="19"/>
      <c r="AX206" s="19"/>
      <c r="AY206" s="19"/>
      <c r="AZ206" s="19"/>
      <c r="BA206" s="19"/>
      <c r="BB206" s="19"/>
      <c r="BC206" s="19"/>
      <c r="BD206" s="19"/>
      <c r="BE206" s="19"/>
      <c r="BF206" s="19"/>
      <c r="BG206" s="19"/>
      <c r="BH206" s="19"/>
      <c r="BI206" s="19"/>
      <c r="BJ206" s="19"/>
    </row>
    <row r="207" spans="21:62" s="1" customFormat="1" ht="12.75" customHeight="1">
      <c r="U207" s="19"/>
      <c r="V207" s="19"/>
      <c r="W207" s="19"/>
      <c r="X207" s="19"/>
      <c r="Y207" s="19"/>
      <c r="Z207" s="19"/>
      <c r="AA207" s="19"/>
      <c r="AB207" s="19"/>
      <c r="AC207" s="19"/>
      <c r="AD207" s="46"/>
      <c r="AE207" s="46"/>
      <c r="AF207" s="46"/>
      <c r="AG207" s="46"/>
      <c r="AH207" s="46"/>
      <c r="AI207" s="46"/>
      <c r="AJ207" s="46"/>
      <c r="AK207" s="46"/>
      <c r="AL207" s="46"/>
      <c r="AM207" s="46"/>
      <c r="AN207" s="46"/>
      <c r="AO207" s="46"/>
      <c r="AP207" s="46"/>
      <c r="AQ207" s="46"/>
      <c r="AR207" s="46"/>
      <c r="AS207" s="46"/>
      <c r="AT207" s="19"/>
      <c r="AU207" s="19"/>
      <c r="AV207" s="19"/>
      <c r="AW207" s="19"/>
      <c r="AX207" s="19"/>
      <c r="AY207" s="19"/>
      <c r="AZ207" s="19"/>
      <c r="BA207" s="19"/>
      <c r="BB207" s="19"/>
      <c r="BC207" s="19"/>
      <c r="BD207" s="19"/>
      <c r="BE207" s="19"/>
      <c r="BF207" s="19"/>
      <c r="BG207" s="19"/>
      <c r="BH207" s="19"/>
      <c r="BI207" s="19"/>
      <c r="BJ207" s="19"/>
    </row>
    <row r="208" spans="21:62" s="1" customFormat="1" ht="12.75" customHeight="1">
      <c r="U208" s="19"/>
      <c r="V208" s="19"/>
      <c r="W208" s="19"/>
      <c r="X208" s="19"/>
      <c r="Y208" s="19"/>
      <c r="Z208" s="19"/>
      <c r="AA208" s="19"/>
      <c r="AB208" s="19"/>
      <c r="AC208" s="19"/>
      <c r="AD208" s="46"/>
      <c r="AE208" s="46"/>
      <c r="AF208" s="46"/>
      <c r="AG208" s="46"/>
      <c r="AH208" s="46"/>
      <c r="AI208" s="46"/>
      <c r="AJ208" s="46"/>
      <c r="AK208" s="46"/>
      <c r="AL208" s="46"/>
      <c r="AM208" s="46"/>
      <c r="AN208" s="46"/>
      <c r="AO208" s="46"/>
      <c r="AP208" s="46"/>
      <c r="AQ208" s="46"/>
      <c r="AR208" s="46"/>
      <c r="AS208" s="46"/>
      <c r="AT208" s="19"/>
      <c r="AU208" s="19"/>
      <c r="AV208" s="19"/>
      <c r="AW208" s="19"/>
      <c r="AX208" s="19"/>
      <c r="AY208" s="19"/>
      <c r="AZ208" s="19"/>
      <c r="BA208" s="19"/>
      <c r="BB208" s="19"/>
      <c r="BC208" s="19"/>
      <c r="BD208" s="19"/>
      <c r="BE208" s="19"/>
      <c r="BF208" s="19"/>
      <c r="BG208" s="19"/>
      <c r="BH208" s="19"/>
      <c r="BI208" s="19"/>
      <c r="BJ208" s="19"/>
    </row>
    <row r="209" spans="21:62" s="1" customFormat="1" ht="12.75" customHeight="1">
      <c r="U209" s="19"/>
      <c r="V209" s="19"/>
      <c r="W209" s="19"/>
      <c r="X209" s="19"/>
      <c r="Y209" s="19"/>
      <c r="Z209" s="19"/>
      <c r="AA209" s="19"/>
      <c r="AB209" s="19"/>
      <c r="AC209" s="19"/>
      <c r="AD209" s="46"/>
      <c r="AE209" s="46"/>
      <c r="AF209" s="46"/>
      <c r="AG209" s="46"/>
      <c r="AH209" s="46"/>
      <c r="AI209" s="46"/>
      <c r="AJ209" s="46"/>
      <c r="AK209" s="46"/>
      <c r="AL209" s="46"/>
      <c r="AM209" s="46"/>
      <c r="AN209" s="46"/>
      <c r="AO209" s="46"/>
      <c r="AP209" s="46"/>
      <c r="AQ209" s="46"/>
      <c r="AR209" s="46"/>
      <c r="AS209" s="46"/>
      <c r="AT209" s="19"/>
      <c r="AU209" s="19"/>
      <c r="AV209" s="19"/>
      <c r="AW209" s="19"/>
      <c r="AX209" s="19"/>
      <c r="AY209" s="19"/>
      <c r="AZ209" s="19"/>
      <c r="BA209" s="19"/>
      <c r="BB209" s="19"/>
      <c r="BC209" s="19"/>
      <c r="BD209" s="19"/>
      <c r="BE209" s="19"/>
      <c r="BF209" s="19"/>
      <c r="BG209" s="19"/>
      <c r="BH209" s="19"/>
      <c r="BI209" s="19"/>
      <c r="BJ209" s="19"/>
    </row>
    <row r="210" spans="21:62" s="1" customFormat="1" ht="12.75" customHeight="1">
      <c r="U210" s="19"/>
      <c r="V210" s="19"/>
      <c r="W210" s="19"/>
      <c r="X210" s="19"/>
      <c r="Y210" s="19"/>
      <c r="Z210" s="19"/>
      <c r="AA210" s="19"/>
      <c r="AB210" s="19"/>
      <c r="AC210" s="19"/>
      <c r="AD210" s="46"/>
      <c r="AE210" s="46"/>
      <c r="AF210" s="46"/>
      <c r="AG210" s="46"/>
      <c r="AH210" s="46"/>
      <c r="AI210" s="46"/>
      <c r="AJ210" s="46"/>
      <c r="AK210" s="46"/>
      <c r="AL210" s="46"/>
      <c r="AM210" s="46"/>
      <c r="AN210" s="46"/>
      <c r="AO210" s="46"/>
      <c r="AP210" s="46"/>
      <c r="AQ210" s="46"/>
      <c r="AR210" s="46"/>
      <c r="AS210" s="46"/>
      <c r="AT210" s="19"/>
      <c r="AU210" s="19"/>
      <c r="AV210" s="19"/>
      <c r="AW210" s="19"/>
      <c r="AX210" s="19"/>
      <c r="AY210" s="19"/>
      <c r="AZ210" s="19"/>
      <c r="BA210" s="19"/>
      <c r="BB210" s="19"/>
      <c r="BC210" s="19"/>
      <c r="BD210" s="19"/>
      <c r="BE210" s="19"/>
      <c r="BF210" s="19"/>
      <c r="BG210" s="19"/>
      <c r="BH210" s="19"/>
      <c r="BI210" s="19"/>
      <c r="BJ210" s="19"/>
    </row>
    <row r="211" spans="21:62" s="1" customFormat="1" ht="12.75" customHeight="1">
      <c r="U211" s="19"/>
      <c r="V211" s="19"/>
      <c r="W211" s="19"/>
      <c r="X211" s="19"/>
      <c r="Y211" s="19"/>
      <c r="Z211" s="19"/>
      <c r="AA211" s="19"/>
      <c r="AB211" s="19"/>
      <c r="AC211" s="19"/>
      <c r="AD211" s="46"/>
      <c r="AE211" s="46"/>
      <c r="AF211" s="46"/>
      <c r="AG211" s="46"/>
      <c r="AH211" s="46"/>
      <c r="AI211" s="46"/>
      <c r="AJ211" s="46"/>
      <c r="AK211" s="46"/>
      <c r="AL211" s="46"/>
      <c r="AM211" s="46"/>
      <c r="AN211" s="46"/>
      <c r="AO211" s="46"/>
      <c r="AP211" s="46"/>
      <c r="AQ211" s="46"/>
      <c r="AR211" s="46"/>
      <c r="AS211" s="46"/>
      <c r="AT211" s="19"/>
      <c r="AU211" s="19"/>
      <c r="AV211" s="19"/>
      <c r="AW211" s="19"/>
      <c r="AX211" s="19"/>
      <c r="AY211" s="19"/>
      <c r="AZ211" s="19"/>
      <c r="BA211" s="19"/>
      <c r="BB211" s="19"/>
      <c r="BC211" s="19"/>
      <c r="BD211" s="19"/>
      <c r="BE211" s="19"/>
      <c r="BF211" s="19"/>
      <c r="BG211" s="19"/>
      <c r="BH211" s="19"/>
      <c r="BI211" s="19"/>
      <c r="BJ211" s="19"/>
    </row>
    <row r="212" spans="21:62" s="1" customFormat="1" ht="12.75" customHeight="1">
      <c r="U212" s="19"/>
      <c r="V212" s="19"/>
      <c r="W212" s="19"/>
      <c r="X212" s="19"/>
      <c r="Y212" s="19"/>
      <c r="Z212" s="19"/>
      <c r="AA212" s="19"/>
      <c r="AB212" s="19"/>
      <c r="AC212" s="19"/>
      <c r="AD212" s="46"/>
      <c r="AE212" s="46"/>
      <c r="AF212" s="46"/>
      <c r="AG212" s="46"/>
      <c r="AH212" s="46"/>
      <c r="AI212" s="46"/>
      <c r="AJ212" s="46"/>
      <c r="AK212" s="46"/>
      <c r="AL212" s="46"/>
      <c r="AM212" s="46"/>
      <c r="AN212" s="46"/>
      <c r="AO212" s="46"/>
      <c r="AP212" s="46"/>
      <c r="AQ212" s="46"/>
      <c r="AR212" s="46"/>
      <c r="AS212" s="46"/>
      <c r="AT212" s="19"/>
      <c r="AU212" s="19"/>
      <c r="AV212" s="19"/>
      <c r="AW212" s="19"/>
      <c r="AX212" s="19"/>
      <c r="AY212" s="19"/>
      <c r="AZ212" s="19"/>
      <c r="BA212" s="19"/>
      <c r="BB212" s="19"/>
      <c r="BC212" s="19"/>
      <c r="BD212" s="19"/>
      <c r="BE212" s="19"/>
      <c r="BF212" s="19"/>
      <c r="BG212" s="19"/>
      <c r="BH212" s="19"/>
      <c r="BI212" s="19"/>
      <c r="BJ212" s="19"/>
    </row>
    <row r="213" spans="21:62" s="1" customFormat="1" ht="12.75" customHeight="1">
      <c r="U213" s="19"/>
      <c r="V213" s="19"/>
      <c r="W213" s="19"/>
      <c r="X213" s="19"/>
      <c r="Y213" s="19"/>
      <c r="Z213" s="19"/>
      <c r="AA213" s="19"/>
      <c r="AB213" s="19"/>
      <c r="AC213" s="19"/>
      <c r="AD213" s="46"/>
      <c r="AE213" s="46"/>
      <c r="AF213" s="46"/>
      <c r="AG213" s="46"/>
      <c r="AH213" s="46"/>
      <c r="AI213" s="46"/>
      <c r="AJ213" s="46"/>
      <c r="AK213" s="46"/>
      <c r="AL213" s="46"/>
      <c r="AM213" s="46"/>
      <c r="AN213" s="46"/>
      <c r="AO213" s="46"/>
      <c r="AP213" s="46"/>
      <c r="AQ213" s="46"/>
      <c r="AR213" s="46"/>
      <c r="AS213" s="46"/>
      <c r="AT213" s="19"/>
      <c r="AU213" s="19"/>
      <c r="AV213" s="19"/>
      <c r="AW213" s="19"/>
      <c r="AX213" s="19"/>
      <c r="AY213" s="19"/>
      <c r="AZ213" s="19"/>
      <c r="BA213" s="19"/>
      <c r="BB213" s="19"/>
      <c r="BC213" s="19"/>
      <c r="BD213" s="19"/>
      <c r="BE213" s="19"/>
      <c r="BF213" s="19"/>
      <c r="BG213" s="19"/>
      <c r="BH213" s="19"/>
      <c r="BI213" s="19"/>
      <c r="BJ213" s="19"/>
    </row>
    <row r="214" spans="21:62" s="1" customFormat="1" ht="12.75" customHeight="1">
      <c r="U214" s="19"/>
      <c r="V214" s="19"/>
      <c r="W214" s="19"/>
      <c r="X214" s="19"/>
      <c r="Y214" s="19"/>
      <c r="Z214" s="19"/>
      <c r="AA214" s="19"/>
      <c r="AB214" s="19"/>
      <c r="AC214" s="19"/>
      <c r="AD214" s="46"/>
      <c r="AE214" s="46"/>
      <c r="AF214" s="46"/>
      <c r="AG214" s="46"/>
      <c r="AH214" s="46"/>
      <c r="AI214" s="46"/>
      <c r="AJ214" s="46"/>
      <c r="AK214" s="46"/>
      <c r="AL214" s="46"/>
      <c r="AM214" s="46"/>
      <c r="AN214" s="46"/>
      <c r="AO214" s="46"/>
      <c r="AP214" s="46"/>
      <c r="AQ214" s="46"/>
      <c r="AR214" s="46"/>
      <c r="AS214" s="46"/>
      <c r="AT214" s="19"/>
      <c r="AU214" s="19"/>
      <c r="AV214" s="19"/>
      <c r="AW214" s="19"/>
      <c r="AX214" s="19"/>
      <c r="AY214" s="19"/>
      <c r="AZ214" s="19"/>
      <c r="BA214" s="19"/>
      <c r="BB214" s="19"/>
      <c r="BC214" s="19"/>
      <c r="BD214" s="19"/>
      <c r="BE214" s="19"/>
      <c r="BF214" s="19"/>
      <c r="BG214" s="19"/>
      <c r="BH214" s="19"/>
      <c r="BI214" s="19"/>
      <c r="BJ214" s="19"/>
    </row>
    <row r="215" spans="21:62" s="1" customFormat="1" ht="12.75" customHeight="1">
      <c r="U215" s="19"/>
      <c r="V215" s="19"/>
      <c r="W215" s="19"/>
      <c r="X215" s="19"/>
      <c r="Y215" s="19"/>
      <c r="Z215" s="19"/>
      <c r="AA215" s="19"/>
      <c r="AB215" s="19"/>
      <c r="AC215" s="19"/>
      <c r="AD215" s="46"/>
      <c r="AE215" s="46"/>
      <c r="AF215" s="46"/>
      <c r="AG215" s="46"/>
      <c r="AH215" s="46"/>
      <c r="AI215" s="46"/>
      <c r="AJ215" s="46"/>
      <c r="AK215" s="46"/>
      <c r="AL215" s="46"/>
      <c r="AM215" s="46"/>
      <c r="AN215" s="46"/>
      <c r="AO215" s="46"/>
      <c r="AP215" s="46"/>
      <c r="AQ215" s="46"/>
      <c r="AR215" s="46"/>
      <c r="AS215" s="46"/>
      <c r="AT215" s="19"/>
      <c r="AU215" s="19"/>
      <c r="AV215" s="19"/>
      <c r="AW215" s="19"/>
      <c r="AX215" s="19"/>
      <c r="AY215" s="19"/>
      <c r="AZ215" s="19"/>
      <c r="BA215" s="19"/>
      <c r="BB215" s="19"/>
      <c r="BC215" s="19"/>
      <c r="BD215" s="19"/>
      <c r="BE215" s="19"/>
      <c r="BF215" s="19"/>
      <c r="BG215" s="19"/>
      <c r="BH215" s="19"/>
      <c r="BI215" s="19"/>
      <c r="BJ215" s="19"/>
    </row>
    <row r="216" spans="21:62" s="1" customFormat="1" ht="12.75" customHeight="1">
      <c r="U216" s="19"/>
      <c r="V216" s="19"/>
      <c r="W216" s="19"/>
      <c r="X216" s="19"/>
      <c r="Y216" s="19"/>
      <c r="Z216" s="19"/>
      <c r="AA216" s="19"/>
      <c r="AB216" s="19"/>
      <c r="AC216" s="19"/>
      <c r="AD216" s="46"/>
      <c r="AE216" s="46"/>
      <c r="AF216" s="46"/>
      <c r="AG216" s="46"/>
      <c r="AH216" s="46"/>
      <c r="AI216" s="46"/>
      <c r="AJ216" s="46"/>
      <c r="AK216" s="46"/>
      <c r="AL216" s="46"/>
      <c r="AM216" s="46"/>
      <c r="AN216" s="46"/>
      <c r="AO216" s="46"/>
      <c r="AP216" s="46"/>
      <c r="AQ216" s="46"/>
      <c r="AR216" s="46"/>
      <c r="AS216" s="46"/>
      <c r="AT216" s="19"/>
      <c r="AU216" s="19"/>
      <c r="AV216" s="19"/>
      <c r="AW216" s="19"/>
      <c r="AX216" s="19"/>
      <c r="AY216" s="19"/>
      <c r="AZ216" s="19"/>
      <c r="BA216" s="19"/>
      <c r="BB216" s="19"/>
      <c r="BC216" s="19"/>
      <c r="BD216" s="19"/>
      <c r="BE216" s="19"/>
      <c r="BF216" s="19"/>
      <c r="BG216" s="19"/>
      <c r="BH216" s="19"/>
      <c r="BI216" s="19"/>
      <c r="BJ216" s="19"/>
    </row>
    <row r="217" spans="21:62" s="1" customFormat="1" ht="12.75" customHeight="1">
      <c r="U217" s="19"/>
      <c r="V217" s="19"/>
      <c r="W217" s="19"/>
      <c r="X217" s="19"/>
      <c r="Y217" s="19"/>
      <c r="Z217" s="19"/>
      <c r="AA217" s="19"/>
      <c r="AB217" s="19"/>
      <c r="AC217" s="19"/>
      <c r="AD217" s="46"/>
      <c r="AE217" s="46"/>
      <c r="AF217" s="46"/>
      <c r="AG217" s="46"/>
      <c r="AH217" s="46"/>
      <c r="AI217" s="46"/>
      <c r="AJ217" s="46"/>
      <c r="AK217" s="46"/>
      <c r="AL217" s="46"/>
      <c r="AM217" s="46"/>
      <c r="AN217" s="46"/>
      <c r="AO217" s="46"/>
      <c r="AP217" s="46"/>
      <c r="AQ217" s="46"/>
      <c r="AR217" s="46"/>
      <c r="AS217" s="46"/>
      <c r="AT217" s="19"/>
      <c r="AU217" s="19"/>
      <c r="AV217" s="19"/>
      <c r="AW217" s="19"/>
      <c r="AX217" s="19"/>
      <c r="AY217" s="19"/>
      <c r="AZ217" s="19"/>
      <c r="BA217" s="19"/>
      <c r="BB217" s="19"/>
      <c r="BC217" s="19"/>
      <c r="BD217" s="19"/>
      <c r="BE217" s="19"/>
      <c r="BF217" s="19"/>
      <c r="BG217" s="19"/>
      <c r="BH217" s="19"/>
      <c r="BI217" s="19"/>
      <c r="BJ217" s="19"/>
    </row>
    <row r="218" spans="21:62" s="1" customFormat="1" ht="12.75" customHeight="1">
      <c r="U218" s="19"/>
      <c r="V218" s="19"/>
      <c r="W218" s="19"/>
      <c r="X218" s="19"/>
      <c r="Y218" s="19"/>
      <c r="Z218" s="19"/>
      <c r="AA218" s="19"/>
      <c r="AB218" s="19"/>
      <c r="AC218" s="19"/>
      <c r="AD218" s="46"/>
      <c r="AE218" s="46"/>
      <c r="AF218" s="46"/>
      <c r="AG218" s="46"/>
      <c r="AH218" s="46"/>
      <c r="AI218" s="46"/>
      <c r="AJ218" s="46"/>
      <c r="AK218" s="46"/>
      <c r="AL218" s="46"/>
      <c r="AM218" s="46"/>
      <c r="AN218" s="46"/>
      <c r="AO218" s="46"/>
      <c r="AP218" s="46"/>
      <c r="AQ218" s="46"/>
      <c r="AR218" s="46"/>
      <c r="AS218" s="46"/>
      <c r="AT218" s="19"/>
      <c r="AU218" s="19"/>
      <c r="AV218" s="19"/>
      <c r="AW218" s="19"/>
      <c r="AX218" s="19"/>
      <c r="AY218" s="19"/>
      <c r="AZ218" s="19"/>
      <c r="BA218" s="19"/>
      <c r="BB218" s="19"/>
      <c r="BC218" s="19"/>
      <c r="BD218" s="19"/>
      <c r="BE218" s="19"/>
      <c r="BF218" s="19"/>
      <c r="BG218" s="19"/>
      <c r="BH218" s="19"/>
      <c r="BI218" s="19"/>
      <c r="BJ218" s="19"/>
    </row>
    <row r="219" spans="21:62" s="1" customFormat="1" ht="12.75" customHeight="1">
      <c r="U219" s="19"/>
      <c r="V219" s="19"/>
      <c r="W219" s="19"/>
      <c r="X219" s="19"/>
      <c r="Y219" s="19"/>
      <c r="Z219" s="19"/>
      <c r="AA219" s="19"/>
      <c r="AB219" s="19"/>
      <c r="AC219" s="19"/>
      <c r="AD219" s="46"/>
      <c r="AE219" s="46"/>
      <c r="AF219" s="46"/>
      <c r="AG219" s="46"/>
      <c r="AH219" s="46"/>
      <c r="AI219" s="46"/>
      <c r="AJ219" s="46"/>
      <c r="AK219" s="46"/>
      <c r="AL219" s="46"/>
      <c r="AM219" s="46"/>
      <c r="AN219" s="46"/>
      <c r="AO219" s="46"/>
      <c r="AP219" s="46"/>
      <c r="AQ219" s="46"/>
      <c r="AR219" s="46"/>
      <c r="AS219" s="46"/>
      <c r="AT219" s="19"/>
      <c r="AU219" s="19"/>
      <c r="AV219" s="19"/>
      <c r="AW219" s="19"/>
      <c r="AX219" s="19"/>
      <c r="AY219" s="19"/>
      <c r="AZ219" s="19"/>
      <c r="BA219" s="19"/>
      <c r="BB219" s="19"/>
      <c r="BC219" s="19"/>
      <c r="BD219" s="19"/>
      <c r="BE219" s="19"/>
      <c r="BF219" s="19"/>
      <c r="BG219" s="19"/>
      <c r="BH219" s="19"/>
      <c r="BI219" s="19"/>
      <c r="BJ219" s="19"/>
    </row>
    <row r="220" spans="21:62" s="1" customFormat="1" ht="12.75" customHeight="1">
      <c r="U220" s="19"/>
      <c r="V220" s="19"/>
      <c r="W220" s="19"/>
      <c r="X220" s="19"/>
      <c r="Y220" s="19"/>
      <c r="Z220" s="19"/>
      <c r="AA220" s="19"/>
      <c r="AB220" s="19"/>
      <c r="AC220" s="19"/>
      <c r="AD220" s="46"/>
      <c r="AE220" s="46"/>
      <c r="AF220" s="46"/>
      <c r="AG220" s="46"/>
      <c r="AH220" s="46"/>
      <c r="AI220" s="46"/>
      <c r="AJ220" s="46"/>
      <c r="AK220" s="46"/>
      <c r="AL220" s="46"/>
      <c r="AM220" s="46"/>
      <c r="AN220" s="46"/>
      <c r="AO220" s="46"/>
      <c r="AP220" s="46"/>
      <c r="AQ220" s="46"/>
      <c r="AR220" s="46"/>
      <c r="AS220" s="46"/>
      <c r="AT220" s="19"/>
      <c r="AU220" s="19"/>
      <c r="AV220" s="19"/>
      <c r="AW220" s="19"/>
      <c r="AX220" s="19"/>
      <c r="AY220" s="19"/>
      <c r="AZ220" s="19"/>
      <c r="BA220" s="19"/>
      <c r="BB220" s="19"/>
      <c r="BC220" s="19"/>
      <c r="BD220" s="19"/>
      <c r="BE220" s="19"/>
      <c r="BF220" s="19"/>
      <c r="BG220" s="19"/>
      <c r="BH220" s="19"/>
      <c r="BI220" s="19"/>
      <c r="BJ220" s="19"/>
    </row>
    <row r="221" spans="21:62" s="1" customFormat="1" ht="12.75" customHeight="1">
      <c r="U221" s="19"/>
      <c r="V221" s="19"/>
      <c r="W221" s="19"/>
      <c r="X221" s="19"/>
      <c r="Y221" s="19"/>
      <c r="Z221" s="19"/>
      <c r="AA221" s="19"/>
      <c r="AB221" s="19"/>
      <c r="AC221" s="19"/>
      <c r="AD221" s="46"/>
      <c r="AE221" s="46"/>
      <c r="AF221" s="46"/>
      <c r="AG221" s="46"/>
      <c r="AH221" s="46"/>
      <c r="AI221" s="46"/>
      <c r="AJ221" s="46"/>
      <c r="AK221" s="46"/>
      <c r="AL221" s="46"/>
      <c r="AM221" s="46"/>
      <c r="AN221" s="46"/>
      <c r="AO221" s="46"/>
      <c r="AP221" s="46"/>
      <c r="AQ221" s="46"/>
      <c r="AR221" s="46"/>
      <c r="AS221" s="46"/>
      <c r="AT221" s="19"/>
      <c r="AU221" s="19"/>
      <c r="AV221" s="19"/>
      <c r="AW221" s="19"/>
      <c r="AX221" s="19"/>
      <c r="AY221" s="19"/>
      <c r="AZ221" s="19"/>
      <c r="BA221" s="19"/>
      <c r="BB221" s="19"/>
      <c r="BC221" s="19"/>
      <c r="BD221" s="19"/>
      <c r="BE221" s="19"/>
      <c r="BF221" s="19"/>
      <c r="BG221" s="19"/>
      <c r="BH221" s="19"/>
      <c r="BI221" s="19"/>
      <c r="BJ221" s="19"/>
    </row>
    <row r="222" spans="21:62" s="1" customFormat="1" ht="12.75" customHeight="1">
      <c r="U222" s="19"/>
      <c r="V222" s="19"/>
      <c r="W222" s="19"/>
      <c r="X222" s="19"/>
      <c r="Y222" s="19"/>
      <c r="Z222" s="19"/>
      <c r="AA222" s="19"/>
      <c r="AB222" s="19"/>
      <c r="AC222" s="19"/>
      <c r="AD222" s="46"/>
      <c r="AE222" s="46"/>
      <c r="AF222" s="46"/>
      <c r="AG222" s="46"/>
      <c r="AH222" s="46"/>
      <c r="AI222" s="46"/>
      <c r="AJ222" s="46"/>
      <c r="AK222" s="46"/>
      <c r="AL222" s="46"/>
      <c r="AM222" s="46"/>
      <c r="AN222" s="46"/>
      <c r="AO222" s="46"/>
      <c r="AP222" s="46"/>
      <c r="AQ222" s="46"/>
      <c r="AR222" s="46"/>
      <c r="AS222" s="46"/>
      <c r="AT222" s="19"/>
      <c r="AU222" s="19"/>
      <c r="AV222" s="19"/>
      <c r="AW222" s="19"/>
      <c r="AX222" s="19"/>
      <c r="AY222" s="19"/>
      <c r="AZ222" s="19"/>
      <c r="BA222" s="19"/>
      <c r="BB222" s="19"/>
      <c r="BC222" s="19"/>
      <c r="BD222" s="19"/>
      <c r="BE222" s="19"/>
      <c r="BF222" s="19"/>
      <c r="BG222" s="19"/>
      <c r="BH222" s="19"/>
      <c r="BI222" s="19"/>
      <c r="BJ222" s="19"/>
    </row>
    <row r="223" spans="21:62" s="1" customFormat="1" ht="12.75" customHeight="1">
      <c r="U223" s="19"/>
      <c r="V223" s="19"/>
      <c r="W223" s="19"/>
      <c r="X223" s="19"/>
      <c r="Y223" s="19"/>
      <c r="Z223" s="19"/>
      <c r="AA223" s="19"/>
      <c r="AB223" s="19"/>
      <c r="AC223" s="19"/>
      <c r="AD223" s="46"/>
      <c r="AE223" s="46"/>
      <c r="AF223" s="46"/>
      <c r="AG223" s="46"/>
      <c r="AH223" s="46"/>
      <c r="AI223" s="46"/>
      <c r="AJ223" s="46"/>
      <c r="AK223" s="46"/>
      <c r="AL223" s="46"/>
      <c r="AM223" s="46"/>
      <c r="AN223" s="46"/>
      <c r="AO223" s="46"/>
      <c r="AP223" s="46"/>
      <c r="AQ223" s="46"/>
      <c r="AR223" s="46"/>
      <c r="AS223" s="46"/>
      <c r="AT223" s="19"/>
      <c r="AU223" s="19"/>
      <c r="AV223" s="19"/>
      <c r="AW223" s="19"/>
      <c r="AX223" s="19"/>
      <c r="AY223" s="19"/>
      <c r="AZ223" s="19"/>
      <c r="BA223" s="19"/>
      <c r="BB223" s="19"/>
      <c r="BC223" s="19"/>
      <c r="BD223" s="19"/>
      <c r="BE223" s="19"/>
      <c r="BF223" s="19"/>
      <c r="BG223" s="19"/>
      <c r="BH223" s="19"/>
      <c r="BI223" s="19"/>
      <c r="BJ223" s="19"/>
    </row>
    <row r="224" spans="21:62" s="1" customFormat="1" ht="12.75" customHeight="1">
      <c r="U224" s="19"/>
      <c r="V224" s="19"/>
      <c r="W224" s="19"/>
      <c r="X224" s="19"/>
      <c r="Y224" s="19"/>
      <c r="Z224" s="19"/>
      <c r="AA224" s="19"/>
      <c r="AB224" s="19"/>
      <c r="AC224" s="19"/>
      <c r="AD224" s="46"/>
      <c r="AE224" s="46"/>
      <c r="AF224" s="46"/>
      <c r="AG224" s="46"/>
      <c r="AH224" s="46"/>
      <c r="AI224" s="46"/>
      <c r="AJ224" s="46"/>
      <c r="AK224" s="46"/>
      <c r="AL224" s="46"/>
      <c r="AM224" s="46"/>
      <c r="AN224" s="46"/>
      <c r="AO224" s="46"/>
      <c r="AP224" s="46"/>
      <c r="AQ224" s="46"/>
      <c r="AR224" s="46"/>
      <c r="AS224" s="46"/>
      <c r="AT224" s="19"/>
      <c r="AU224" s="19"/>
      <c r="AV224" s="19"/>
      <c r="AW224" s="19"/>
      <c r="AX224" s="19"/>
      <c r="AY224" s="19"/>
      <c r="AZ224" s="19"/>
      <c r="BA224" s="19"/>
      <c r="BB224" s="19"/>
      <c r="BC224" s="19"/>
      <c r="BD224" s="19"/>
      <c r="BE224" s="19"/>
      <c r="BF224" s="19"/>
      <c r="BG224" s="19"/>
      <c r="BH224" s="19"/>
      <c r="BI224" s="19"/>
      <c r="BJ224" s="19"/>
    </row>
    <row r="225" spans="21:62" s="1" customFormat="1" ht="12.75" customHeight="1">
      <c r="U225" s="19"/>
      <c r="V225" s="19"/>
      <c r="W225" s="19"/>
      <c r="X225" s="19"/>
      <c r="Y225" s="19"/>
      <c r="Z225" s="19"/>
      <c r="AA225" s="19"/>
      <c r="AB225" s="19"/>
      <c r="AC225" s="19"/>
      <c r="AD225" s="46"/>
      <c r="AE225" s="46"/>
      <c r="AF225" s="46"/>
      <c r="AG225" s="46"/>
      <c r="AH225" s="46"/>
      <c r="AI225" s="46"/>
      <c r="AJ225" s="46"/>
      <c r="AK225" s="46"/>
      <c r="AL225" s="46"/>
      <c r="AM225" s="46"/>
      <c r="AN225" s="46"/>
      <c r="AO225" s="46"/>
      <c r="AP225" s="46"/>
      <c r="AQ225" s="46"/>
      <c r="AR225" s="46"/>
      <c r="AS225" s="46"/>
      <c r="AT225" s="19"/>
      <c r="AU225" s="19"/>
      <c r="AV225" s="19"/>
      <c r="AW225" s="19"/>
      <c r="AX225" s="19"/>
      <c r="AY225" s="19"/>
      <c r="AZ225" s="19"/>
      <c r="BA225" s="19"/>
      <c r="BB225" s="19"/>
      <c r="BC225" s="19"/>
      <c r="BD225" s="19"/>
      <c r="BE225" s="19"/>
      <c r="BF225" s="19"/>
      <c r="BG225" s="19"/>
      <c r="BH225" s="19"/>
      <c r="BI225" s="19"/>
      <c r="BJ225" s="19"/>
    </row>
    <row r="226" spans="21:62" s="1" customFormat="1" ht="12.75" customHeight="1">
      <c r="U226" s="19"/>
      <c r="V226" s="19"/>
      <c r="W226" s="19"/>
      <c r="X226" s="19"/>
      <c r="Y226" s="19"/>
      <c r="Z226" s="19"/>
      <c r="AA226" s="19"/>
      <c r="AB226" s="19"/>
      <c r="AC226" s="19"/>
      <c r="AD226" s="46"/>
      <c r="AE226" s="46"/>
      <c r="AF226" s="46"/>
      <c r="AG226" s="46"/>
      <c r="AH226" s="46"/>
      <c r="AI226" s="46"/>
      <c r="AJ226" s="46"/>
      <c r="AK226" s="46"/>
      <c r="AL226" s="46"/>
      <c r="AM226" s="46"/>
      <c r="AN226" s="46"/>
      <c r="AO226" s="46"/>
      <c r="AP226" s="46"/>
      <c r="AQ226" s="46"/>
      <c r="AR226" s="46"/>
      <c r="AS226" s="46"/>
      <c r="AT226" s="19"/>
      <c r="AU226" s="19"/>
      <c r="AV226" s="19"/>
      <c r="AW226" s="19"/>
      <c r="AX226" s="19"/>
      <c r="AY226" s="19"/>
      <c r="AZ226" s="19"/>
      <c r="BA226" s="19"/>
      <c r="BB226" s="19"/>
      <c r="BC226" s="19"/>
      <c r="BD226" s="19"/>
      <c r="BE226" s="19"/>
      <c r="BF226" s="19"/>
      <c r="BG226" s="19"/>
      <c r="BH226" s="19"/>
      <c r="BI226" s="19"/>
      <c r="BJ226" s="19"/>
    </row>
    <row r="227" spans="21:62" s="1" customFormat="1" ht="12.75" customHeight="1">
      <c r="U227" s="19"/>
      <c r="V227" s="19"/>
      <c r="W227" s="19"/>
      <c r="X227" s="19"/>
      <c r="Y227" s="19"/>
      <c r="Z227" s="19"/>
      <c r="AA227" s="19"/>
      <c r="AB227" s="19"/>
      <c r="AC227" s="19"/>
      <c r="AD227" s="46"/>
      <c r="AE227" s="46"/>
      <c r="AF227" s="46"/>
      <c r="AG227" s="46"/>
      <c r="AH227" s="46"/>
      <c r="AI227" s="46"/>
      <c r="AJ227" s="46"/>
      <c r="AK227" s="46"/>
      <c r="AL227" s="46"/>
      <c r="AM227" s="46"/>
      <c r="AN227" s="46"/>
      <c r="AO227" s="46"/>
      <c r="AP227" s="46"/>
      <c r="AQ227" s="46"/>
      <c r="AR227" s="46"/>
      <c r="AS227" s="46"/>
      <c r="AT227" s="19"/>
      <c r="AU227" s="19"/>
      <c r="AV227" s="19"/>
      <c r="AW227" s="19"/>
      <c r="AX227" s="19"/>
      <c r="AY227" s="19"/>
      <c r="AZ227" s="19"/>
      <c r="BA227" s="19"/>
      <c r="BB227" s="19"/>
      <c r="BC227" s="19"/>
      <c r="BD227" s="19"/>
      <c r="BE227" s="19"/>
      <c r="BF227" s="19"/>
      <c r="BG227" s="19"/>
      <c r="BH227" s="19"/>
      <c r="BI227" s="19"/>
      <c r="BJ227" s="19"/>
    </row>
    <row r="228" spans="21:62" s="1" customFormat="1" ht="12.75" customHeight="1">
      <c r="U228" s="19"/>
      <c r="V228" s="19"/>
      <c r="W228" s="19"/>
      <c r="X228" s="19"/>
      <c r="Y228" s="19"/>
      <c r="Z228" s="19"/>
      <c r="AA228" s="19"/>
      <c r="AB228" s="19"/>
      <c r="AC228" s="19"/>
      <c r="AD228" s="46"/>
      <c r="AE228" s="46"/>
      <c r="AF228" s="46"/>
      <c r="AG228" s="46"/>
      <c r="AH228" s="46"/>
      <c r="AI228" s="46"/>
      <c r="AJ228" s="46"/>
      <c r="AK228" s="46"/>
      <c r="AL228" s="46"/>
      <c r="AM228" s="46"/>
      <c r="AN228" s="46"/>
      <c r="AO228" s="46"/>
      <c r="AP228" s="46"/>
      <c r="AQ228" s="46"/>
      <c r="AR228" s="46"/>
      <c r="AS228" s="46"/>
      <c r="AT228" s="19"/>
      <c r="AU228" s="19"/>
      <c r="AV228" s="19"/>
      <c r="AW228" s="19"/>
      <c r="AX228" s="19"/>
      <c r="AY228" s="19"/>
      <c r="AZ228" s="19"/>
      <c r="BA228" s="19"/>
      <c r="BB228" s="19"/>
      <c r="BC228" s="19"/>
      <c r="BD228" s="19"/>
      <c r="BE228" s="19"/>
      <c r="BF228" s="19"/>
      <c r="BG228" s="19"/>
      <c r="BH228" s="19"/>
      <c r="BI228" s="19"/>
      <c r="BJ228" s="19"/>
    </row>
    <row r="229" spans="21:62" s="1" customFormat="1" ht="12.75" customHeight="1">
      <c r="U229" s="19"/>
      <c r="V229" s="19"/>
      <c r="W229" s="19"/>
      <c r="X229" s="19"/>
      <c r="Y229" s="19"/>
      <c r="Z229" s="19"/>
      <c r="AA229" s="19"/>
      <c r="AB229" s="19"/>
      <c r="AC229" s="19"/>
      <c r="AD229" s="46"/>
      <c r="AE229" s="46"/>
      <c r="AF229" s="46"/>
      <c r="AG229" s="46"/>
      <c r="AH229" s="46"/>
      <c r="AI229" s="46"/>
      <c r="AJ229" s="46"/>
      <c r="AK229" s="46"/>
      <c r="AL229" s="46"/>
      <c r="AM229" s="46"/>
      <c r="AN229" s="46"/>
      <c r="AO229" s="46"/>
      <c r="AP229" s="46"/>
      <c r="AQ229" s="46"/>
      <c r="AR229" s="46"/>
      <c r="AS229" s="46"/>
      <c r="AT229" s="19"/>
      <c r="AU229" s="19"/>
      <c r="AV229" s="19"/>
      <c r="AW229" s="19"/>
      <c r="AX229" s="19"/>
      <c r="AY229" s="19"/>
      <c r="AZ229" s="19"/>
      <c r="BA229" s="19"/>
      <c r="BB229" s="19"/>
      <c r="BC229" s="19"/>
      <c r="BD229" s="19"/>
      <c r="BE229" s="19"/>
      <c r="BF229" s="19"/>
      <c r="BG229" s="19"/>
      <c r="BH229" s="19"/>
      <c r="BI229" s="19"/>
      <c r="BJ229" s="19"/>
    </row>
    <row r="230" spans="21:62" s="1" customFormat="1" ht="12.75" customHeight="1">
      <c r="U230" s="19"/>
      <c r="V230" s="19"/>
      <c r="W230" s="19"/>
      <c r="X230" s="19"/>
      <c r="Y230" s="19"/>
      <c r="Z230" s="19"/>
      <c r="AA230" s="19"/>
      <c r="AB230" s="19"/>
      <c r="AC230" s="19"/>
      <c r="AD230" s="46"/>
      <c r="AE230" s="46"/>
      <c r="AF230" s="46"/>
      <c r="AG230" s="46"/>
      <c r="AH230" s="46"/>
      <c r="AI230" s="46"/>
      <c r="AJ230" s="46"/>
      <c r="AK230" s="46"/>
      <c r="AL230" s="46"/>
      <c r="AM230" s="46"/>
      <c r="AN230" s="46"/>
      <c r="AO230" s="46"/>
      <c r="AP230" s="46"/>
      <c r="AQ230" s="46"/>
      <c r="AR230" s="46"/>
      <c r="AS230" s="46"/>
      <c r="AT230" s="19"/>
      <c r="AU230" s="19"/>
      <c r="AV230" s="19"/>
      <c r="AW230" s="19"/>
      <c r="AX230" s="19"/>
      <c r="AY230" s="19"/>
      <c r="AZ230" s="19"/>
      <c r="BA230" s="19"/>
      <c r="BB230" s="19"/>
      <c r="BC230" s="19"/>
      <c r="BD230" s="19"/>
      <c r="BE230" s="19"/>
      <c r="BF230" s="19"/>
      <c r="BG230" s="19"/>
      <c r="BH230" s="19"/>
      <c r="BI230" s="19"/>
      <c r="BJ230" s="19"/>
    </row>
    <row r="231" spans="21:62" s="1" customFormat="1" ht="12.75" customHeight="1">
      <c r="U231" s="19"/>
      <c r="V231" s="19"/>
      <c r="W231" s="19"/>
      <c r="X231" s="19"/>
      <c r="Y231" s="19"/>
      <c r="Z231" s="19"/>
      <c r="AA231" s="19"/>
      <c r="AB231" s="19"/>
      <c r="AC231" s="19"/>
      <c r="AD231" s="46"/>
      <c r="AE231" s="46"/>
      <c r="AF231" s="46"/>
      <c r="AG231" s="46"/>
      <c r="AH231" s="46"/>
      <c r="AI231" s="46"/>
      <c r="AJ231" s="46"/>
      <c r="AK231" s="46"/>
      <c r="AL231" s="46"/>
      <c r="AM231" s="46"/>
      <c r="AN231" s="46"/>
      <c r="AO231" s="46"/>
      <c r="AP231" s="46"/>
      <c r="AQ231" s="46"/>
      <c r="AR231" s="46"/>
      <c r="AS231" s="46"/>
      <c r="AT231" s="19"/>
      <c r="AU231" s="19"/>
      <c r="AV231" s="19"/>
      <c r="AW231" s="19"/>
      <c r="AX231" s="19"/>
      <c r="AY231" s="19"/>
      <c r="AZ231" s="19"/>
      <c r="BA231" s="19"/>
      <c r="BB231" s="19"/>
      <c r="BC231" s="19"/>
      <c r="BD231" s="19"/>
      <c r="BE231" s="19"/>
      <c r="BF231" s="19"/>
      <c r="BG231" s="19"/>
      <c r="BH231" s="19"/>
      <c r="BI231" s="19"/>
      <c r="BJ231" s="19"/>
    </row>
    <row r="232" spans="21:62" s="1" customFormat="1" ht="12.75" customHeight="1">
      <c r="U232" s="19"/>
      <c r="V232" s="19"/>
      <c r="W232" s="19"/>
      <c r="X232" s="19"/>
      <c r="Y232" s="19"/>
      <c r="Z232" s="19"/>
      <c r="AA232" s="19"/>
      <c r="AB232" s="19"/>
      <c r="AC232" s="19"/>
      <c r="AD232" s="46"/>
      <c r="AE232" s="46"/>
      <c r="AF232" s="46"/>
      <c r="AG232" s="46"/>
      <c r="AH232" s="46"/>
      <c r="AI232" s="46"/>
      <c r="AJ232" s="46"/>
      <c r="AK232" s="46"/>
      <c r="AL232" s="46"/>
      <c r="AM232" s="46"/>
      <c r="AN232" s="46"/>
      <c r="AO232" s="46"/>
      <c r="AP232" s="46"/>
      <c r="AQ232" s="46"/>
      <c r="AR232" s="46"/>
      <c r="AS232" s="46"/>
      <c r="AT232" s="19"/>
      <c r="AU232" s="19"/>
      <c r="AV232" s="19"/>
      <c r="AW232" s="19"/>
      <c r="AX232" s="19"/>
      <c r="AY232" s="19"/>
      <c r="AZ232" s="19"/>
      <c r="BA232" s="19"/>
      <c r="BB232" s="19"/>
      <c r="BC232" s="19"/>
      <c r="BD232" s="19"/>
      <c r="BE232" s="19"/>
      <c r="BF232" s="19"/>
      <c r="BG232" s="19"/>
      <c r="BH232" s="19"/>
      <c r="BI232" s="19"/>
      <c r="BJ232" s="19"/>
    </row>
    <row r="233" spans="21:62" s="1" customFormat="1" ht="12.75" customHeight="1">
      <c r="U233" s="19"/>
      <c r="V233" s="19"/>
      <c r="W233" s="19"/>
      <c r="X233" s="19"/>
      <c r="Y233" s="19"/>
      <c r="Z233" s="19"/>
      <c r="AA233" s="19"/>
      <c r="AB233" s="19"/>
      <c r="AC233" s="19"/>
      <c r="AD233" s="46"/>
      <c r="AE233" s="46"/>
      <c r="AF233" s="46"/>
      <c r="AG233" s="46"/>
      <c r="AH233" s="46"/>
      <c r="AI233" s="46"/>
      <c r="AJ233" s="46"/>
      <c r="AK233" s="46"/>
      <c r="AL233" s="46"/>
      <c r="AM233" s="46"/>
      <c r="AN233" s="46"/>
      <c r="AO233" s="46"/>
      <c r="AP233" s="46"/>
      <c r="AQ233" s="46"/>
      <c r="AR233" s="46"/>
      <c r="AS233" s="46"/>
      <c r="AT233" s="19"/>
      <c r="AU233" s="19"/>
      <c r="AV233" s="19"/>
      <c r="AW233" s="19"/>
      <c r="AX233" s="19"/>
      <c r="AY233" s="19"/>
      <c r="AZ233" s="19"/>
      <c r="BA233" s="19"/>
      <c r="BB233" s="19"/>
      <c r="BC233" s="19"/>
      <c r="BD233" s="19"/>
      <c r="BE233" s="19"/>
      <c r="BF233" s="19"/>
      <c r="BG233" s="19"/>
      <c r="BH233" s="19"/>
      <c r="BI233" s="19"/>
      <c r="BJ233" s="19"/>
    </row>
    <row r="234" spans="21:62" s="1" customFormat="1" ht="12.75" customHeight="1">
      <c r="U234" s="19"/>
      <c r="V234" s="19"/>
      <c r="W234" s="19"/>
      <c r="X234" s="19"/>
      <c r="Y234" s="19"/>
      <c r="Z234" s="19"/>
      <c r="AA234" s="19"/>
      <c r="AB234" s="19"/>
      <c r="AC234" s="19"/>
      <c r="AD234" s="46"/>
      <c r="AE234" s="46"/>
      <c r="AF234" s="46"/>
      <c r="AG234" s="46"/>
      <c r="AH234" s="46"/>
      <c r="AI234" s="46"/>
      <c r="AJ234" s="46"/>
      <c r="AK234" s="46"/>
      <c r="AL234" s="46"/>
      <c r="AM234" s="46"/>
      <c r="AN234" s="46"/>
      <c r="AO234" s="46"/>
      <c r="AP234" s="46"/>
      <c r="AQ234" s="46"/>
      <c r="AR234" s="46"/>
      <c r="AS234" s="46"/>
      <c r="AT234" s="19"/>
      <c r="AU234" s="19"/>
      <c r="AV234" s="19"/>
      <c r="AW234" s="19"/>
      <c r="AX234" s="19"/>
      <c r="AY234" s="19"/>
      <c r="AZ234" s="19"/>
      <c r="BA234" s="19"/>
      <c r="BB234" s="19"/>
      <c r="BC234" s="19"/>
      <c r="BD234" s="19"/>
      <c r="BE234" s="19"/>
      <c r="BF234" s="19"/>
      <c r="BG234" s="19"/>
      <c r="BH234" s="19"/>
      <c r="BI234" s="19"/>
      <c r="BJ234" s="19"/>
    </row>
    <row r="235" spans="21:62" s="1" customFormat="1" ht="12.75" customHeight="1">
      <c r="U235" s="19"/>
      <c r="V235" s="19"/>
      <c r="W235" s="19"/>
      <c r="X235" s="19"/>
      <c r="Y235" s="19"/>
      <c r="Z235" s="19"/>
      <c r="AA235" s="19"/>
      <c r="AB235" s="19"/>
      <c r="AC235" s="19"/>
      <c r="AD235" s="46"/>
      <c r="AE235" s="46"/>
      <c r="AF235" s="46"/>
      <c r="AG235" s="46"/>
      <c r="AH235" s="46"/>
      <c r="AI235" s="46"/>
      <c r="AJ235" s="46"/>
      <c r="AK235" s="46"/>
      <c r="AL235" s="46"/>
      <c r="AM235" s="46"/>
      <c r="AN235" s="46"/>
      <c r="AO235" s="46"/>
      <c r="AP235" s="46"/>
      <c r="AQ235" s="46"/>
      <c r="AR235" s="46"/>
      <c r="AS235" s="46"/>
      <c r="AT235" s="19"/>
      <c r="AU235" s="19"/>
      <c r="AV235" s="19"/>
      <c r="AW235" s="19"/>
      <c r="AX235" s="19"/>
      <c r="AY235" s="19"/>
      <c r="AZ235" s="19"/>
      <c r="BA235" s="19"/>
      <c r="BB235" s="19"/>
      <c r="BC235" s="19"/>
      <c r="BD235" s="19"/>
      <c r="BE235" s="19"/>
      <c r="BF235" s="19"/>
      <c r="BG235" s="19"/>
      <c r="BH235" s="19"/>
      <c r="BI235" s="19"/>
      <c r="BJ235" s="19"/>
    </row>
    <row r="236" spans="21:62" s="1" customFormat="1" ht="12.75" customHeight="1">
      <c r="U236" s="19"/>
      <c r="V236" s="19"/>
      <c r="W236" s="19"/>
      <c r="X236" s="19"/>
      <c r="Y236" s="19"/>
      <c r="Z236" s="19"/>
      <c r="AA236" s="19"/>
      <c r="AB236" s="19"/>
      <c r="AC236" s="19"/>
      <c r="AD236" s="46"/>
      <c r="AE236" s="46"/>
      <c r="AF236" s="46"/>
      <c r="AG236" s="46"/>
      <c r="AH236" s="46"/>
      <c r="AI236" s="46"/>
      <c r="AJ236" s="46"/>
      <c r="AK236" s="46"/>
      <c r="AL236" s="46"/>
      <c r="AM236" s="46"/>
      <c r="AN236" s="46"/>
      <c r="AO236" s="46"/>
      <c r="AP236" s="46"/>
      <c r="AQ236" s="46"/>
      <c r="AR236" s="46"/>
      <c r="AS236" s="46"/>
      <c r="AT236" s="19"/>
      <c r="AU236" s="19"/>
      <c r="AV236" s="19"/>
      <c r="AW236" s="19"/>
      <c r="AX236" s="19"/>
      <c r="AY236" s="19"/>
      <c r="AZ236" s="19"/>
      <c r="BA236" s="19"/>
      <c r="BB236" s="19"/>
      <c r="BC236" s="19"/>
      <c r="BD236" s="19"/>
      <c r="BE236" s="19"/>
      <c r="BF236" s="19"/>
      <c r="BG236" s="19"/>
      <c r="BH236" s="19"/>
      <c r="BI236" s="19"/>
      <c r="BJ236" s="19"/>
    </row>
    <row r="237" spans="21:62" s="1" customFormat="1" ht="12.75" customHeight="1">
      <c r="U237" s="19"/>
      <c r="V237" s="19"/>
      <c r="W237" s="19"/>
      <c r="X237" s="19"/>
      <c r="Y237" s="19"/>
      <c r="Z237" s="19"/>
      <c r="AA237" s="19"/>
      <c r="AB237" s="19"/>
      <c r="AC237" s="19"/>
      <c r="AD237" s="46"/>
      <c r="AE237" s="46"/>
      <c r="AF237" s="46"/>
      <c r="AG237" s="46"/>
      <c r="AH237" s="46"/>
      <c r="AI237" s="46"/>
      <c r="AJ237" s="46"/>
      <c r="AK237" s="46"/>
      <c r="AL237" s="46"/>
      <c r="AM237" s="46"/>
      <c r="AN237" s="46"/>
      <c r="AO237" s="46"/>
      <c r="AP237" s="46"/>
      <c r="AQ237" s="46"/>
      <c r="AR237" s="46"/>
      <c r="AS237" s="46"/>
      <c r="AT237" s="19"/>
      <c r="AU237" s="19"/>
      <c r="AV237" s="19"/>
      <c r="AW237" s="19"/>
      <c r="AX237" s="19"/>
      <c r="AY237" s="19"/>
      <c r="AZ237" s="19"/>
      <c r="BA237" s="19"/>
      <c r="BB237" s="19"/>
      <c r="BC237" s="19"/>
      <c r="BD237" s="19"/>
      <c r="BE237" s="19"/>
      <c r="BF237" s="19"/>
      <c r="BG237" s="19"/>
      <c r="BH237" s="19"/>
      <c r="BI237" s="19"/>
      <c r="BJ237" s="19"/>
    </row>
    <row r="238" spans="21:62" s="1" customFormat="1" ht="12.75" customHeight="1">
      <c r="U238" s="19"/>
      <c r="V238" s="19"/>
      <c r="W238" s="19"/>
      <c r="X238" s="19"/>
      <c r="Y238" s="19"/>
      <c r="Z238" s="19"/>
      <c r="AA238" s="19"/>
      <c r="AB238" s="19"/>
      <c r="AC238" s="19"/>
      <c r="AD238" s="46"/>
      <c r="AE238" s="46"/>
      <c r="AF238" s="46"/>
      <c r="AG238" s="46"/>
      <c r="AH238" s="46"/>
      <c r="AI238" s="46"/>
      <c r="AJ238" s="46"/>
      <c r="AK238" s="46"/>
      <c r="AL238" s="46"/>
      <c r="AM238" s="46"/>
      <c r="AN238" s="46"/>
      <c r="AO238" s="46"/>
      <c r="AP238" s="46"/>
      <c r="AQ238" s="46"/>
      <c r="AR238" s="46"/>
      <c r="AS238" s="46"/>
      <c r="AT238" s="19"/>
      <c r="AU238" s="19"/>
      <c r="AV238" s="19"/>
      <c r="AW238" s="19"/>
      <c r="AX238" s="19"/>
      <c r="AY238" s="19"/>
      <c r="AZ238" s="19"/>
      <c r="BA238" s="19"/>
      <c r="BB238" s="19"/>
      <c r="BC238" s="19"/>
      <c r="BD238" s="19"/>
      <c r="BE238" s="19"/>
      <c r="BF238" s="19"/>
      <c r="BG238" s="19"/>
      <c r="BH238" s="19"/>
      <c r="BI238" s="19"/>
      <c r="BJ238" s="19"/>
    </row>
    <row r="239" spans="21:62" s="1" customFormat="1" ht="12.75" customHeight="1">
      <c r="U239" s="19"/>
      <c r="V239" s="19"/>
      <c r="W239" s="19"/>
      <c r="X239" s="19"/>
      <c r="Y239" s="19"/>
      <c r="Z239" s="19"/>
      <c r="AA239" s="19"/>
      <c r="AB239" s="19"/>
      <c r="AC239" s="19"/>
      <c r="AD239" s="46"/>
      <c r="AE239" s="46"/>
      <c r="AF239" s="46"/>
      <c r="AG239" s="46"/>
      <c r="AH239" s="46"/>
      <c r="AI239" s="46"/>
      <c r="AJ239" s="46"/>
      <c r="AK239" s="46"/>
      <c r="AL239" s="46"/>
      <c r="AM239" s="46"/>
      <c r="AN239" s="46"/>
      <c r="AO239" s="46"/>
      <c r="AP239" s="46"/>
      <c r="AQ239" s="46"/>
      <c r="AR239" s="46"/>
      <c r="AS239" s="46"/>
      <c r="AT239" s="19"/>
      <c r="AU239" s="19"/>
      <c r="AV239" s="19"/>
      <c r="AW239" s="19"/>
      <c r="AX239" s="19"/>
      <c r="AY239" s="19"/>
      <c r="AZ239" s="19"/>
      <c r="BA239" s="19"/>
      <c r="BB239" s="19"/>
      <c r="BC239" s="19"/>
      <c r="BD239" s="19"/>
      <c r="BE239" s="19"/>
      <c r="BF239" s="19"/>
      <c r="BG239" s="19"/>
      <c r="BH239" s="19"/>
      <c r="BI239" s="19"/>
      <c r="BJ239" s="19"/>
    </row>
    <row r="240" spans="21:62" s="1" customFormat="1" ht="12.75" customHeight="1">
      <c r="U240" s="19"/>
      <c r="V240" s="19"/>
      <c r="W240" s="19"/>
      <c r="X240" s="19"/>
      <c r="Y240" s="19"/>
      <c r="Z240" s="19"/>
      <c r="AA240" s="19"/>
      <c r="AB240" s="19"/>
      <c r="AC240" s="19"/>
      <c r="AD240" s="46"/>
      <c r="AE240" s="46"/>
      <c r="AF240" s="46"/>
      <c r="AG240" s="46"/>
      <c r="AH240" s="46"/>
      <c r="AI240" s="46"/>
      <c r="AJ240" s="46"/>
      <c r="AK240" s="46"/>
      <c r="AL240" s="46"/>
      <c r="AM240" s="46"/>
      <c r="AN240" s="46"/>
      <c r="AO240" s="46"/>
      <c r="AP240" s="46"/>
      <c r="AQ240" s="46"/>
      <c r="AR240" s="46"/>
      <c r="AS240" s="46"/>
      <c r="AT240" s="19"/>
      <c r="AU240" s="19"/>
      <c r="AV240" s="19"/>
      <c r="AW240" s="19"/>
      <c r="AX240" s="19"/>
      <c r="AY240" s="19"/>
      <c r="AZ240" s="19"/>
      <c r="BA240" s="19"/>
      <c r="BB240" s="19"/>
      <c r="BC240" s="19"/>
      <c r="BD240" s="19"/>
      <c r="BE240" s="19"/>
      <c r="BF240" s="19"/>
      <c r="BG240" s="19"/>
      <c r="BH240" s="19"/>
      <c r="BI240" s="19"/>
      <c r="BJ240" s="19"/>
    </row>
    <row r="241" spans="21:62" s="1" customFormat="1" ht="12.75" customHeight="1">
      <c r="U241" s="19"/>
      <c r="V241" s="19"/>
      <c r="W241" s="19"/>
      <c r="X241" s="19"/>
      <c r="Y241" s="19"/>
      <c r="Z241" s="19"/>
      <c r="AA241" s="19"/>
      <c r="AB241" s="19"/>
      <c r="AC241" s="19"/>
      <c r="AD241" s="46"/>
      <c r="AE241" s="46"/>
      <c r="AF241" s="46"/>
      <c r="AG241" s="46"/>
      <c r="AH241" s="46"/>
      <c r="AI241" s="46"/>
      <c r="AJ241" s="46"/>
      <c r="AK241" s="46"/>
      <c r="AL241" s="46"/>
      <c r="AM241" s="46"/>
      <c r="AN241" s="46"/>
      <c r="AO241" s="46"/>
      <c r="AP241" s="46"/>
      <c r="AQ241" s="46"/>
      <c r="AR241" s="46"/>
      <c r="AS241" s="46"/>
      <c r="AT241" s="19"/>
      <c r="AU241" s="19"/>
      <c r="AV241" s="19"/>
      <c r="AW241" s="19"/>
      <c r="AX241" s="19"/>
      <c r="AY241" s="19"/>
      <c r="AZ241" s="19"/>
      <c r="BA241" s="19"/>
      <c r="BB241" s="19"/>
      <c r="BC241" s="19"/>
      <c r="BD241" s="19"/>
      <c r="BE241" s="19"/>
      <c r="BF241" s="19"/>
      <c r="BG241" s="19"/>
      <c r="BH241" s="19"/>
      <c r="BI241" s="19"/>
      <c r="BJ241" s="19"/>
    </row>
    <row r="242" spans="21:62" s="1" customFormat="1" ht="12.75" customHeight="1">
      <c r="U242" s="19"/>
      <c r="V242" s="19"/>
      <c r="W242" s="19"/>
      <c r="X242" s="19"/>
      <c r="Y242" s="19"/>
      <c r="Z242" s="19"/>
      <c r="AA242" s="19"/>
      <c r="AB242" s="19"/>
      <c r="AC242" s="19"/>
      <c r="AD242" s="46"/>
      <c r="AE242" s="46"/>
      <c r="AF242" s="46"/>
      <c r="AG242" s="46"/>
      <c r="AH242" s="46"/>
      <c r="AI242" s="46"/>
      <c r="AJ242" s="46"/>
      <c r="AK242" s="46"/>
      <c r="AL242" s="46"/>
      <c r="AM242" s="46"/>
      <c r="AN242" s="46"/>
      <c r="AO242" s="46"/>
      <c r="AP242" s="46"/>
      <c r="AQ242" s="46"/>
      <c r="AR242" s="46"/>
      <c r="AS242" s="46"/>
      <c r="AT242" s="19"/>
      <c r="AU242" s="19"/>
      <c r="AV242" s="19"/>
      <c r="AW242" s="19"/>
      <c r="AX242" s="19"/>
      <c r="AY242" s="19"/>
      <c r="AZ242" s="19"/>
      <c r="BA242" s="19"/>
      <c r="BB242" s="19"/>
      <c r="BC242" s="19"/>
      <c r="BD242" s="19"/>
      <c r="BE242" s="19"/>
      <c r="BF242" s="19"/>
      <c r="BG242" s="19"/>
      <c r="BH242" s="19"/>
      <c r="BI242" s="19"/>
      <c r="BJ242" s="19"/>
    </row>
    <row r="243" spans="21:62" s="1" customFormat="1" ht="12.75" customHeight="1">
      <c r="U243" s="19"/>
      <c r="V243" s="19"/>
      <c r="W243" s="19"/>
      <c r="X243" s="19"/>
      <c r="Y243" s="19"/>
      <c r="Z243" s="19"/>
      <c r="AA243" s="19"/>
      <c r="AB243" s="19"/>
      <c r="AC243" s="19"/>
      <c r="AD243" s="46"/>
      <c r="AE243" s="46"/>
      <c r="AF243" s="46"/>
      <c r="AG243" s="46"/>
      <c r="AH243" s="46"/>
      <c r="AI243" s="46"/>
      <c r="AJ243" s="46"/>
      <c r="AK243" s="46"/>
      <c r="AL243" s="46"/>
      <c r="AM243" s="46"/>
      <c r="AN243" s="46"/>
      <c r="AO243" s="46"/>
      <c r="AP243" s="46"/>
      <c r="AQ243" s="46"/>
      <c r="AR243" s="46"/>
      <c r="AS243" s="46"/>
      <c r="AT243" s="19"/>
      <c r="AU243" s="19"/>
      <c r="AV243" s="19"/>
      <c r="AW243" s="19"/>
      <c r="AX243" s="19"/>
      <c r="AY243" s="19"/>
      <c r="AZ243" s="19"/>
      <c r="BA243" s="19"/>
      <c r="BB243" s="19"/>
      <c r="BC243" s="19"/>
      <c r="BD243" s="19"/>
      <c r="BE243" s="19"/>
      <c r="BF243" s="19"/>
      <c r="BG243" s="19"/>
      <c r="BH243" s="19"/>
      <c r="BI243" s="19"/>
      <c r="BJ243" s="19"/>
    </row>
    <row r="244" spans="21:62" s="1" customFormat="1" ht="12.75" customHeight="1">
      <c r="U244" s="19"/>
      <c r="V244" s="19"/>
      <c r="W244" s="19"/>
      <c r="X244" s="19"/>
      <c r="Y244" s="19"/>
      <c r="Z244" s="19"/>
      <c r="AA244" s="19"/>
      <c r="AB244" s="19"/>
      <c r="AC244" s="19"/>
      <c r="AD244" s="46"/>
      <c r="AE244" s="46"/>
      <c r="AF244" s="46"/>
      <c r="AG244" s="46"/>
      <c r="AH244" s="46"/>
      <c r="AI244" s="46"/>
      <c r="AJ244" s="46"/>
      <c r="AK244" s="46"/>
      <c r="AL244" s="46"/>
      <c r="AM244" s="46"/>
      <c r="AN244" s="46"/>
      <c r="AO244" s="46"/>
      <c r="AP244" s="46"/>
      <c r="AQ244" s="46"/>
      <c r="AR244" s="46"/>
      <c r="AS244" s="46"/>
      <c r="AT244" s="19"/>
      <c r="AU244" s="19"/>
      <c r="AV244" s="19"/>
      <c r="AW244" s="19"/>
      <c r="AX244" s="19"/>
      <c r="AY244" s="19"/>
      <c r="AZ244" s="19"/>
      <c r="BA244" s="19"/>
      <c r="BB244" s="19"/>
      <c r="BC244" s="19"/>
      <c r="BD244" s="19"/>
      <c r="BE244" s="19"/>
      <c r="BF244" s="19"/>
      <c r="BG244" s="19"/>
      <c r="BH244" s="19"/>
      <c r="BI244" s="19"/>
      <c r="BJ244" s="19"/>
    </row>
    <row r="245" spans="21:62" s="1" customFormat="1" ht="12.75" customHeight="1">
      <c r="U245" s="19"/>
      <c r="V245" s="19"/>
      <c r="W245" s="19"/>
      <c r="X245" s="19"/>
      <c r="Y245" s="19"/>
      <c r="Z245" s="19"/>
      <c r="AA245" s="19"/>
      <c r="AB245" s="19"/>
      <c r="AC245" s="19"/>
      <c r="AD245" s="46"/>
      <c r="AE245" s="46"/>
      <c r="AF245" s="46"/>
      <c r="AG245" s="46"/>
      <c r="AH245" s="46"/>
      <c r="AI245" s="46"/>
      <c r="AJ245" s="46"/>
      <c r="AK245" s="46"/>
      <c r="AL245" s="46"/>
      <c r="AM245" s="46"/>
      <c r="AN245" s="46"/>
      <c r="AO245" s="46"/>
      <c r="AP245" s="46"/>
      <c r="AQ245" s="46"/>
      <c r="AR245" s="46"/>
      <c r="AS245" s="46"/>
      <c r="AT245" s="19"/>
      <c r="AU245" s="19"/>
      <c r="AV245" s="19"/>
      <c r="AW245" s="19"/>
      <c r="AX245" s="19"/>
      <c r="AY245" s="19"/>
      <c r="AZ245" s="19"/>
      <c r="BA245" s="19"/>
      <c r="BB245" s="19"/>
      <c r="BC245" s="19"/>
      <c r="BD245" s="19"/>
      <c r="BE245" s="19"/>
      <c r="BF245" s="19"/>
      <c r="BG245" s="19"/>
      <c r="BH245" s="19"/>
      <c r="BI245" s="19"/>
      <c r="BJ245" s="19"/>
    </row>
    <row r="246" spans="21:62" s="1" customFormat="1" ht="12.75" customHeight="1">
      <c r="U246" s="19"/>
      <c r="V246" s="19"/>
      <c r="W246" s="19"/>
      <c r="X246" s="19"/>
      <c r="Y246" s="19"/>
      <c r="Z246" s="19"/>
      <c r="AA246" s="19"/>
      <c r="AB246" s="19"/>
      <c r="AC246" s="19"/>
      <c r="AD246" s="46"/>
      <c r="AE246" s="46"/>
      <c r="AF246" s="46"/>
      <c r="AG246" s="46"/>
      <c r="AH246" s="46"/>
      <c r="AI246" s="46"/>
      <c r="AJ246" s="46"/>
      <c r="AK246" s="46"/>
      <c r="AL246" s="46"/>
      <c r="AM246" s="46"/>
      <c r="AN246" s="46"/>
      <c r="AO246" s="46"/>
      <c r="AP246" s="46"/>
      <c r="AQ246" s="46"/>
      <c r="AR246" s="46"/>
      <c r="AS246" s="46"/>
      <c r="AT246" s="19"/>
      <c r="AU246" s="19"/>
      <c r="AV246" s="19"/>
      <c r="AW246" s="19"/>
      <c r="AX246" s="19"/>
      <c r="AY246" s="19"/>
      <c r="AZ246" s="19"/>
      <c r="BA246" s="19"/>
      <c r="BB246" s="19"/>
      <c r="BC246" s="19"/>
      <c r="BD246" s="19"/>
      <c r="BE246" s="19"/>
      <c r="BF246" s="19"/>
      <c r="BG246" s="19"/>
      <c r="BH246" s="19"/>
      <c r="BI246" s="19"/>
      <c r="BJ246" s="19"/>
    </row>
    <row r="247" spans="21:62" s="1" customFormat="1" ht="12.75" customHeight="1">
      <c r="U247" s="19"/>
      <c r="V247" s="19"/>
      <c r="W247" s="19"/>
      <c r="X247" s="19"/>
      <c r="Y247" s="19"/>
      <c r="Z247" s="19"/>
      <c r="AA247" s="19"/>
      <c r="AB247" s="19"/>
      <c r="AC247" s="19"/>
      <c r="AD247" s="46"/>
      <c r="AE247" s="46"/>
      <c r="AF247" s="46"/>
      <c r="AG247" s="46"/>
      <c r="AH247" s="46"/>
      <c r="AI247" s="46"/>
      <c r="AJ247" s="46"/>
      <c r="AK247" s="46"/>
      <c r="AL247" s="46"/>
      <c r="AM247" s="46"/>
      <c r="AN247" s="46"/>
      <c r="AO247" s="46"/>
      <c r="AP247" s="46"/>
      <c r="AQ247" s="46"/>
      <c r="AR247" s="46"/>
      <c r="AS247" s="46"/>
      <c r="AT247" s="19"/>
      <c r="AU247" s="19"/>
      <c r="AV247" s="19"/>
      <c r="AW247" s="19"/>
      <c r="AX247" s="19"/>
      <c r="AY247" s="19"/>
      <c r="AZ247" s="19"/>
      <c r="BA247" s="19"/>
      <c r="BB247" s="19"/>
      <c r="BC247" s="19"/>
      <c r="BD247" s="19"/>
      <c r="BE247" s="19"/>
      <c r="BF247" s="19"/>
      <c r="BG247" s="19"/>
      <c r="BH247" s="19"/>
      <c r="BI247" s="19"/>
      <c r="BJ247" s="19"/>
    </row>
    <row r="248" spans="21:62" s="1" customFormat="1" ht="12.75" customHeight="1">
      <c r="U248" s="19"/>
      <c r="V248" s="19"/>
      <c r="W248" s="19"/>
      <c r="X248" s="19"/>
      <c r="Y248" s="19"/>
      <c r="Z248" s="19"/>
      <c r="AA248" s="19"/>
      <c r="AB248" s="19"/>
      <c r="AC248" s="19"/>
      <c r="AD248" s="46"/>
      <c r="AE248" s="46"/>
      <c r="AF248" s="46"/>
      <c r="AG248" s="46"/>
      <c r="AH248" s="46"/>
      <c r="AI248" s="46"/>
      <c r="AJ248" s="46"/>
      <c r="AK248" s="46"/>
      <c r="AL248" s="46"/>
      <c r="AM248" s="46"/>
      <c r="AN248" s="46"/>
      <c r="AO248" s="46"/>
      <c r="AP248" s="46"/>
      <c r="AQ248" s="46"/>
      <c r="AR248" s="46"/>
      <c r="AS248" s="46"/>
      <c r="AT248" s="19"/>
      <c r="AU248" s="19"/>
      <c r="AV248" s="19"/>
      <c r="AW248" s="19"/>
      <c r="AX248" s="19"/>
      <c r="AY248" s="19"/>
      <c r="AZ248" s="19"/>
      <c r="BA248" s="19"/>
      <c r="BB248" s="19"/>
      <c r="BC248" s="19"/>
      <c r="BD248" s="19"/>
      <c r="BE248" s="19"/>
      <c r="BF248" s="19"/>
      <c r="BG248" s="19"/>
      <c r="BH248" s="19"/>
      <c r="BI248" s="19"/>
      <c r="BJ248" s="19"/>
    </row>
    <row r="249" spans="21:62" s="1" customFormat="1" ht="12.75" customHeight="1">
      <c r="U249" s="19"/>
      <c r="V249" s="19"/>
      <c r="W249" s="19"/>
      <c r="X249" s="19"/>
      <c r="Y249" s="19"/>
      <c r="Z249" s="19"/>
      <c r="AA249" s="19"/>
      <c r="AB249" s="19"/>
      <c r="AC249" s="19"/>
      <c r="AD249" s="46"/>
      <c r="AE249" s="46"/>
      <c r="AF249" s="46"/>
      <c r="AG249" s="46"/>
      <c r="AH249" s="46"/>
      <c r="AI249" s="46"/>
      <c r="AJ249" s="46"/>
      <c r="AK249" s="46"/>
      <c r="AL249" s="46"/>
      <c r="AM249" s="46"/>
      <c r="AN249" s="46"/>
      <c r="AO249" s="46"/>
      <c r="AP249" s="46"/>
      <c r="AQ249" s="46"/>
      <c r="AR249" s="46"/>
      <c r="AS249" s="46"/>
      <c r="AT249" s="19"/>
      <c r="AU249" s="19"/>
      <c r="AV249" s="19"/>
      <c r="AW249" s="19"/>
      <c r="AX249" s="19"/>
      <c r="AY249" s="19"/>
      <c r="AZ249" s="19"/>
      <c r="BA249" s="19"/>
      <c r="BB249" s="19"/>
      <c r="BC249" s="19"/>
      <c r="BD249" s="19"/>
      <c r="BE249" s="19"/>
      <c r="BF249" s="19"/>
      <c r="BG249" s="19"/>
      <c r="BH249" s="19"/>
      <c r="BI249" s="19"/>
      <c r="BJ249" s="19"/>
    </row>
    <row r="250" spans="21:62" s="1" customFormat="1" ht="12.75" customHeight="1">
      <c r="U250" s="19"/>
      <c r="V250" s="19"/>
      <c r="W250" s="19"/>
      <c r="X250" s="19"/>
      <c r="Y250" s="19"/>
      <c r="Z250" s="19"/>
      <c r="AA250" s="19"/>
      <c r="AB250" s="19"/>
      <c r="AC250" s="19"/>
      <c r="AD250" s="46"/>
      <c r="AE250" s="46"/>
      <c r="AF250" s="46"/>
      <c r="AG250" s="46"/>
      <c r="AH250" s="46"/>
      <c r="AI250" s="46"/>
      <c r="AJ250" s="46"/>
      <c r="AK250" s="46"/>
      <c r="AL250" s="46"/>
      <c r="AM250" s="46"/>
      <c r="AN250" s="46"/>
      <c r="AO250" s="46"/>
      <c r="AP250" s="46"/>
      <c r="AQ250" s="46"/>
      <c r="AR250" s="46"/>
      <c r="AS250" s="46"/>
      <c r="AT250" s="19"/>
      <c r="AU250" s="19"/>
      <c r="AV250" s="19"/>
      <c r="AW250" s="19"/>
      <c r="AX250" s="19"/>
      <c r="AY250" s="19"/>
      <c r="AZ250" s="19"/>
      <c r="BA250" s="19"/>
      <c r="BB250" s="19"/>
      <c r="BC250" s="19"/>
      <c r="BD250" s="19"/>
      <c r="BE250" s="19"/>
      <c r="BF250" s="19"/>
      <c r="BG250" s="19"/>
      <c r="BH250" s="19"/>
      <c r="BI250" s="19"/>
      <c r="BJ250" s="19"/>
    </row>
    <row r="251" spans="21:62" s="1" customFormat="1" ht="12.75" customHeight="1">
      <c r="U251" s="19"/>
      <c r="V251" s="19"/>
      <c r="W251" s="19"/>
      <c r="X251" s="19"/>
      <c r="Y251" s="19"/>
      <c r="Z251" s="19"/>
      <c r="AA251" s="19"/>
      <c r="AB251" s="19"/>
      <c r="AC251" s="19"/>
      <c r="AD251" s="46"/>
      <c r="AE251" s="46"/>
      <c r="AF251" s="46"/>
      <c r="AG251" s="46"/>
      <c r="AH251" s="46"/>
      <c r="AI251" s="46"/>
      <c r="AJ251" s="46"/>
      <c r="AK251" s="46"/>
      <c r="AL251" s="46"/>
      <c r="AM251" s="46"/>
      <c r="AN251" s="46"/>
      <c r="AO251" s="46"/>
      <c r="AP251" s="46"/>
      <c r="AQ251" s="46"/>
      <c r="AR251" s="46"/>
      <c r="AS251" s="46"/>
      <c r="AT251" s="19"/>
      <c r="AU251" s="19"/>
      <c r="AV251" s="19"/>
      <c r="AW251" s="19"/>
      <c r="AX251" s="19"/>
      <c r="AY251" s="19"/>
      <c r="AZ251" s="19"/>
      <c r="BA251" s="19"/>
      <c r="BB251" s="19"/>
      <c r="BC251" s="19"/>
      <c r="BD251" s="19"/>
      <c r="BE251" s="19"/>
      <c r="BF251" s="19"/>
      <c r="BG251" s="19"/>
      <c r="BH251" s="19"/>
      <c r="BI251" s="19"/>
      <c r="BJ251" s="19"/>
    </row>
    <row r="252" spans="21:62" s="1" customFormat="1" ht="12.75" customHeight="1">
      <c r="U252" s="19"/>
      <c r="V252" s="19"/>
      <c r="W252" s="19"/>
      <c r="X252" s="19"/>
      <c r="Y252" s="19"/>
      <c r="Z252" s="19"/>
      <c r="AA252" s="19"/>
      <c r="AB252" s="19"/>
      <c r="AC252" s="19"/>
      <c r="AD252" s="46"/>
      <c r="AE252" s="46"/>
      <c r="AF252" s="46"/>
      <c r="AG252" s="46"/>
      <c r="AH252" s="46"/>
      <c r="AI252" s="46"/>
      <c r="AJ252" s="46"/>
      <c r="AK252" s="46"/>
      <c r="AL252" s="46"/>
      <c r="AM252" s="46"/>
      <c r="AN252" s="46"/>
      <c r="AO252" s="46"/>
      <c r="AP252" s="46"/>
      <c r="AQ252" s="46"/>
      <c r="AR252" s="46"/>
      <c r="AS252" s="46"/>
      <c r="AT252" s="19"/>
      <c r="AU252" s="19"/>
      <c r="AV252" s="19"/>
      <c r="AW252" s="19"/>
      <c r="AX252" s="19"/>
      <c r="AY252" s="19"/>
      <c r="AZ252" s="19"/>
      <c r="BA252" s="19"/>
      <c r="BB252" s="19"/>
      <c r="BC252" s="19"/>
      <c r="BD252" s="19"/>
      <c r="BE252" s="19"/>
      <c r="BF252" s="19"/>
      <c r="BG252" s="19"/>
      <c r="BH252" s="19"/>
      <c r="BI252" s="19"/>
      <c r="BJ252" s="19"/>
    </row>
    <row r="253" spans="21:62" s="1" customFormat="1" ht="12.75" customHeight="1">
      <c r="U253" s="19"/>
      <c r="V253" s="19"/>
      <c r="W253" s="19"/>
      <c r="X253" s="19"/>
      <c r="Y253" s="19"/>
      <c r="Z253" s="19"/>
      <c r="AA253" s="19"/>
      <c r="AB253" s="19"/>
      <c r="AC253" s="19"/>
      <c r="AD253" s="46"/>
      <c r="AE253" s="46"/>
      <c r="AF253" s="46"/>
      <c r="AG253" s="46"/>
      <c r="AH253" s="46"/>
      <c r="AI253" s="46"/>
      <c r="AJ253" s="46"/>
      <c r="AK253" s="46"/>
      <c r="AL253" s="46"/>
      <c r="AM253" s="46"/>
      <c r="AN253" s="46"/>
      <c r="AO253" s="46"/>
      <c r="AP253" s="46"/>
      <c r="AQ253" s="46"/>
      <c r="AR253" s="46"/>
      <c r="AS253" s="46"/>
      <c r="AT253" s="19"/>
      <c r="AU253" s="19"/>
      <c r="AV253" s="19"/>
      <c r="AW253" s="19"/>
      <c r="AX253" s="19"/>
      <c r="AY253" s="19"/>
      <c r="AZ253" s="19"/>
      <c r="BA253" s="19"/>
      <c r="BB253" s="19"/>
      <c r="BC253" s="19"/>
      <c r="BD253" s="19"/>
      <c r="BE253" s="19"/>
      <c r="BF253" s="19"/>
      <c r="BG253" s="19"/>
      <c r="BH253" s="19"/>
      <c r="BI253" s="19"/>
      <c r="BJ253" s="19"/>
    </row>
    <row r="254" spans="21:62" s="1" customFormat="1" ht="12.75" customHeight="1">
      <c r="U254" s="19"/>
      <c r="V254" s="19"/>
      <c r="W254" s="19"/>
      <c r="X254" s="19"/>
      <c r="Y254" s="19"/>
      <c r="Z254" s="19"/>
      <c r="AA254" s="19"/>
      <c r="AB254" s="19"/>
      <c r="AC254" s="19"/>
      <c r="AD254" s="46"/>
      <c r="AE254" s="46"/>
      <c r="AF254" s="46"/>
      <c r="AG254" s="46"/>
      <c r="AH254" s="46"/>
      <c r="AI254" s="46"/>
      <c r="AJ254" s="46"/>
      <c r="AK254" s="46"/>
      <c r="AL254" s="46"/>
      <c r="AM254" s="46"/>
      <c r="AN254" s="46"/>
      <c r="AO254" s="46"/>
      <c r="AP254" s="46"/>
      <c r="AQ254" s="46"/>
      <c r="AR254" s="46"/>
      <c r="AS254" s="46"/>
      <c r="AT254" s="19"/>
      <c r="AU254" s="19"/>
      <c r="AV254" s="19"/>
      <c r="AW254" s="19"/>
      <c r="AX254" s="19"/>
      <c r="AY254" s="19"/>
      <c r="AZ254" s="19"/>
      <c r="BA254" s="19"/>
      <c r="BB254" s="19"/>
      <c r="BC254" s="19"/>
      <c r="BD254" s="19"/>
      <c r="BE254" s="19"/>
      <c r="BF254" s="19"/>
      <c r="BG254" s="19"/>
      <c r="BH254" s="19"/>
      <c r="BI254" s="19"/>
      <c r="BJ254" s="19"/>
    </row>
    <row r="255" spans="21:62" s="1" customFormat="1" ht="12.75" customHeight="1">
      <c r="U255" s="19"/>
      <c r="V255" s="19"/>
      <c r="W255" s="19"/>
      <c r="X255" s="19"/>
      <c r="Y255" s="19"/>
      <c r="Z255" s="19"/>
      <c r="AA255" s="19"/>
      <c r="AB255" s="19"/>
      <c r="AC255" s="19"/>
      <c r="AD255" s="46"/>
      <c r="AE255" s="46"/>
      <c r="AF255" s="46"/>
      <c r="AG255" s="46"/>
      <c r="AH255" s="46"/>
      <c r="AI255" s="46"/>
      <c r="AJ255" s="46"/>
      <c r="AK255" s="46"/>
      <c r="AL255" s="46"/>
      <c r="AM255" s="46"/>
      <c r="AN255" s="46"/>
      <c r="AO255" s="46"/>
      <c r="AP255" s="46"/>
      <c r="AQ255" s="46"/>
      <c r="AR255" s="46"/>
      <c r="AS255" s="46"/>
      <c r="AT255" s="19"/>
      <c r="AU255" s="19"/>
      <c r="AV255" s="19"/>
      <c r="AW255" s="19"/>
      <c r="AX255" s="19"/>
      <c r="AY255" s="19"/>
      <c r="AZ255" s="19"/>
      <c r="BA255" s="19"/>
      <c r="BB255" s="19"/>
      <c r="BC255" s="19"/>
      <c r="BD255" s="19"/>
      <c r="BE255" s="19"/>
      <c r="BF255" s="19"/>
      <c r="BG255" s="19"/>
      <c r="BH255" s="19"/>
      <c r="BI255" s="19"/>
      <c r="BJ255" s="19"/>
    </row>
    <row r="256" spans="21:62" s="1" customFormat="1" ht="12.75" customHeight="1">
      <c r="U256" s="19"/>
      <c r="V256" s="19"/>
      <c r="W256" s="19"/>
      <c r="X256" s="19"/>
      <c r="Y256" s="19"/>
      <c r="Z256" s="19"/>
      <c r="AA256" s="19"/>
      <c r="AB256" s="19"/>
      <c r="AC256" s="19"/>
      <c r="AD256" s="46"/>
      <c r="AE256" s="46"/>
      <c r="AF256" s="46"/>
      <c r="AG256" s="46"/>
      <c r="AH256" s="46"/>
      <c r="AI256" s="46"/>
      <c r="AJ256" s="46"/>
      <c r="AK256" s="46"/>
      <c r="AL256" s="46"/>
      <c r="AM256" s="46"/>
      <c r="AN256" s="46"/>
      <c r="AO256" s="46"/>
      <c r="AP256" s="46"/>
      <c r="AQ256" s="46"/>
      <c r="AR256" s="46"/>
      <c r="AS256" s="46"/>
      <c r="AT256" s="19"/>
      <c r="AU256" s="19"/>
      <c r="AV256" s="19"/>
      <c r="AW256" s="19"/>
      <c r="AX256" s="19"/>
      <c r="AY256" s="19"/>
      <c r="AZ256" s="19"/>
      <c r="BA256" s="19"/>
      <c r="BB256" s="19"/>
      <c r="BC256" s="19"/>
      <c r="BD256" s="19"/>
      <c r="BE256" s="19"/>
      <c r="BF256" s="19"/>
      <c r="BG256" s="19"/>
      <c r="BH256" s="19"/>
      <c r="BI256" s="19"/>
      <c r="BJ256" s="19"/>
    </row>
    <row r="257" spans="21:62" s="1" customFormat="1" ht="12.75" customHeight="1">
      <c r="U257" s="19"/>
      <c r="V257" s="19"/>
      <c r="W257" s="19"/>
      <c r="X257" s="19"/>
      <c r="Y257" s="19"/>
      <c r="Z257" s="19"/>
      <c r="AA257" s="19"/>
      <c r="AB257" s="19"/>
      <c r="AC257" s="19"/>
      <c r="AD257" s="46"/>
      <c r="AE257" s="46"/>
      <c r="AF257" s="46"/>
      <c r="AG257" s="46"/>
      <c r="AH257" s="46"/>
      <c r="AI257" s="46"/>
      <c r="AJ257" s="46"/>
      <c r="AK257" s="46"/>
      <c r="AL257" s="46"/>
      <c r="AM257" s="46"/>
      <c r="AN257" s="46"/>
      <c r="AO257" s="46"/>
      <c r="AP257" s="46"/>
      <c r="AQ257" s="46"/>
      <c r="AR257" s="46"/>
      <c r="AS257" s="46"/>
      <c r="AT257" s="19"/>
      <c r="AU257" s="19"/>
      <c r="AV257" s="19"/>
      <c r="AW257" s="19"/>
      <c r="AX257" s="19"/>
      <c r="AY257" s="19"/>
      <c r="AZ257" s="19"/>
      <c r="BA257" s="19"/>
      <c r="BB257" s="19"/>
      <c r="BC257" s="19"/>
      <c r="BD257" s="19"/>
      <c r="BE257" s="19"/>
      <c r="BF257" s="19"/>
      <c r="BG257" s="19"/>
      <c r="BH257" s="19"/>
      <c r="BI257" s="19"/>
      <c r="BJ257" s="19"/>
    </row>
    <row r="258" spans="21:62" s="1" customFormat="1" ht="12.75" customHeight="1">
      <c r="U258" s="19"/>
      <c r="V258" s="19"/>
      <c r="W258" s="19"/>
      <c r="X258" s="19"/>
      <c r="Y258" s="19"/>
      <c r="Z258" s="19"/>
      <c r="AA258" s="19"/>
      <c r="AB258" s="19"/>
      <c r="AC258" s="19"/>
      <c r="AD258" s="46"/>
      <c r="AE258" s="46"/>
      <c r="AF258" s="46"/>
      <c r="AG258" s="46"/>
      <c r="AH258" s="46"/>
      <c r="AI258" s="46"/>
      <c r="AJ258" s="46"/>
      <c r="AK258" s="46"/>
      <c r="AL258" s="46"/>
      <c r="AM258" s="46"/>
      <c r="AN258" s="46"/>
      <c r="AO258" s="46"/>
      <c r="AP258" s="46"/>
      <c r="AQ258" s="46"/>
      <c r="AR258" s="46"/>
      <c r="AS258" s="46"/>
      <c r="AT258" s="19"/>
      <c r="AU258" s="19"/>
      <c r="AV258" s="19"/>
      <c r="AW258" s="19"/>
      <c r="AX258" s="19"/>
      <c r="AY258" s="19"/>
      <c r="AZ258" s="19"/>
      <c r="BA258" s="19"/>
      <c r="BB258" s="19"/>
      <c r="BC258" s="19"/>
      <c r="BD258" s="19"/>
      <c r="BE258" s="19"/>
      <c r="BF258" s="19"/>
      <c r="BG258" s="19"/>
      <c r="BH258" s="19"/>
      <c r="BI258" s="19"/>
      <c r="BJ258" s="19"/>
    </row>
    <row r="259" spans="21:62" s="1" customFormat="1" ht="12.75" customHeight="1">
      <c r="U259" s="19"/>
      <c r="V259" s="19"/>
      <c r="W259" s="19"/>
      <c r="X259" s="19"/>
      <c r="Y259" s="19"/>
      <c r="Z259" s="19"/>
      <c r="AA259" s="19"/>
      <c r="AB259" s="19"/>
      <c r="AC259" s="19"/>
      <c r="AD259" s="46"/>
      <c r="AE259" s="46"/>
      <c r="AF259" s="46"/>
      <c r="AG259" s="46"/>
      <c r="AH259" s="46"/>
      <c r="AI259" s="46"/>
      <c r="AJ259" s="46"/>
      <c r="AK259" s="46"/>
      <c r="AL259" s="46"/>
      <c r="AM259" s="46"/>
      <c r="AN259" s="46"/>
      <c r="AO259" s="46"/>
      <c r="AP259" s="46"/>
      <c r="AQ259" s="46"/>
      <c r="AR259" s="46"/>
      <c r="AS259" s="46"/>
      <c r="AT259" s="19"/>
      <c r="AU259" s="19"/>
      <c r="AV259" s="19"/>
      <c r="AW259" s="19"/>
      <c r="AX259" s="19"/>
      <c r="AY259" s="19"/>
      <c r="AZ259" s="19"/>
      <c r="BA259" s="19"/>
      <c r="BB259" s="19"/>
      <c r="BC259" s="19"/>
      <c r="BD259" s="19"/>
      <c r="BE259" s="19"/>
      <c r="BF259" s="19"/>
      <c r="BG259" s="19"/>
      <c r="BH259" s="19"/>
      <c r="BI259" s="19"/>
      <c r="BJ259" s="19"/>
    </row>
    <row r="260" spans="21:62" s="1" customFormat="1" ht="12.75" customHeight="1">
      <c r="U260" s="19"/>
      <c r="V260" s="19"/>
      <c r="W260" s="19"/>
      <c r="X260" s="19"/>
      <c r="Y260" s="19"/>
      <c r="Z260" s="19"/>
      <c r="AA260" s="19"/>
      <c r="AB260" s="19"/>
      <c r="AC260" s="19"/>
      <c r="AD260" s="46"/>
      <c r="AE260" s="46"/>
      <c r="AF260" s="46"/>
      <c r="AG260" s="46"/>
      <c r="AH260" s="46"/>
      <c r="AI260" s="46"/>
      <c r="AJ260" s="46"/>
      <c r="AK260" s="46"/>
      <c r="AL260" s="46"/>
      <c r="AM260" s="46"/>
      <c r="AN260" s="46"/>
      <c r="AO260" s="46"/>
      <c r="AP260" s="46"/>
      <c r="AQ260" s="46"/>
      <c r="AR260" s="46"/>
      <c r="AS260" s="46"/>
      <c r="AT260" s="19"/>
      <c r="AU260" s="19"/>
      <c r="AV260" s="19"/>
      <c r="AW260" s="19"/>
      <c r="AX260" s="19"/>
      <c r="AY260" s="19"/>
      <c r="AZ260" s="19"/>
      <c r="BA260" s="19"/>
      <c r="BB260" s="19"/>
      <c r="BC260" s="19"/>
      <c r="BD260" s="19"/>
      <c r="BE260" s="19"/>
      <c r="BF260" s="19"/>
      <c r="BG260" s="19"/>
      <c r="BH260" s="19"/>
      <c r="BI260" s="19"/>
      <c r="BJ260" s="19"/>
    </row>
    <row r="261" spans="21:62" s="1" customFormat="1" ht="12.75" customHeight="1">
      <c r="U261" s="19"/>
      <c r="V261" s="19"/>
      <c r="W261" s="19"/>
      <c r="X261" s="19"/>
      <c r="Y261" s="19"/>
      <c r="Z261" s="19"/>
      <c r="AA261" s="19"/>
      <c r="AB261" s="19"/>
      <c r="AC261" s="19"/>
      <c r="AD261" s="46"/>
      <c r="AE261" s="46"/>
      <c r="AF261" s="46"/>
      <c r="AG261" s="46"/>
      <c r="AH261" s="46"/>
      <c r="AI261" s="46"/>
      <c r="AJ261" s="46"/>
      <c r="AK261" s="46"/>
      <c r="AL261" s="46"/>
      <c r="AM261" s="46"/>
      <c r="AN261" s="46"/>
      <c r="AO261" s="46"/>
      <c r="AP261" s="46"/>
      <c r="AQ261" s="46"/>
      <c r="AR261" s="46"/>
      <c r="AS261" s="46"/>
      <c r="AT261" s="19"/>
      <c r="AU261" s="19"/>
      <c r="AV261" s="19"/>
      <c r="AW261" s="19"/>
      <c r="AX261" s="19"/>
      <c r="AY261" s="19"/>
      <c r="AZ261" s="19"/>
      <c r="BA261" s="19"/>
      <c r="BB261" s="19"/>
      <c r="BC261" s="19"/>
      <c r="BD261" s="19"/>
      <c r="BE261" s="19"/>
      <c r="BF261" s="19"/>
      <c r="BG261" s="19"/>
      <c r="BH261" s="19"/>
      <c r="BI261" s="19"/>
      <c r="BJ261" s="19"/>
    </row>
    <row r="262" spans="21:62" s="1" customFormat="1" ht="12.75" customHeight="1">
      <c r="U262" s="19"/>
      <c r="V262" s="19"/>
      <c r="W262" s="19"/>
      <c r="X262" s="19"/>
      <c r="Y262" s="19"/>
      <c r="Z262" s="19"/>
      <c r="AA262" s="19"/>
      <c r="AB262" s="19"/>
      <c r="AC262" s="19"/>
      <c r="AD262" s="46"/>
      <c r="AE262" s="46"/>
      <c r="AF262" s="46"/>
      <c r="AG262" s="46"/>
      <c r="AH262" s="46"/>
      <c r="AI262" s="46"/>
      <c r="AJ262" s="46"/>
      <c r="AK262" s="46"/>
      <c r="AL262" s="46"/>
      <c r="AM262" s="46"/>
      <c r="AN262" s="46"/>
      <c r="AO262" s="46"/>
      <c r="AP262" s="46"/>
      <c r="AQ262" s="46"/>
      <c r="AR262" s="46"/>
      <c r="AS262" s="46"/>
      <c r="AT262" s="19"/>
      <c r="AU262" s="19"/>
      <c r="AV262" s="19"/>
      <c r="AW262" s="19"/>
      <c r="AX262" s="19"/>
      <c r="AY262" s="19"/>
      <c r="AZ262" s="19"/>
      <c r="BA262" s="19"/>
      <c r="BB262" s="19"/>
      <c r="BC262" s="19"/>
      <c r="BD262" s="19"/>
      <c r="BE262" s="19"/>
      <c r="BF262" s="19"/>
      <c r="BG262" s="19"/>
      <c r="BH262" s="19"/>
      <c r="BI262" s="19"/>
      <c r="BJ262" s="19"/>
    </row>
    <row r="263" spans="21:62" s="1" customFormat="1" ht="12.75" customHeight="1">
      <c r="U263" s="19"/>
      <c r="V263" s="19"/>
      <c r="W263" s="19"/>
      <c r="X263" s="19"/>
      <c r="Y263" s="19"/>
      <c r="Z263" s="19"/>
      <c r="AA263" s="19"/>
      <c r="AB263" s="19"/>
      <c r="AC263" s="19"/>
      <c r="AD263" s="46"/>
      <c r="AE263" s="46"/>
      <c r="AF263" s="46"/>
      <c r="AG263" s="46"/>
      <c r="AH263" s="46"/>
      <c r="AI263" s="46"/>
      <c r="AJ263" s="46"/>
      <c r="AK263" s="46"/>
      <c r="AL263" s="46"/>
      <c r="AM263" s="46"/>
      <c r="AN263" s="46"/>
      <c r="AO263" s="46"/>
      <c r="AP263" s="46"/>
      <c r="AQ263" s="46"/>
      <c r="AR263" s="46"/>
      <c r="AS263" s="46"/>
      <c r="AT263" s="19"/>
      <c r="AU263" s="19"/>
      <c r="AV263" s="19"/>
      <c r="AW263" s="19"/>
      <c r="AX263" s="19"/>
      <c r="AY263" s="19"/>
      <c r="AZ263" s="19"/>
      <c r="BA263" s="19"/>
      <c r="BB263" s="19"/>
      <c r="BC263" s="19"/>
      <c r="BD263" s="19"/>
      <c r="BE263" s="19"/>
      <c r="BF263" s="19"/>
      <c r="BG263" s="19"/>
      <c r="BH263" s="19"/>
      <c r="BI263" s="19"/>
      <c r="BJ263" s="19"/>
    </row>
    <row r="264" spans="21:62" s="1" customFormat="1" ht="12.75" customHeight="1">
      <c r="U264" s="19"/>
      <c r="V264" s="19"/>
      <c r="W264" s="19"/>
      <c r="X264" s="19"/>
      <c r="Y264" s="19"/>
      <c r="Z264" s="19"/>
      <c r="AA264" s="19"/>
      <c r="AB264" s="19"/>
      <c r="AC264" s="19"/>
      <c r="AD264" s="46"/>
      <c r="AE264" s="46"/>
      <c r="AF264" s="46"/>
      <c r="AG264" s="46"/>
      <c r="AH264" s="46"/>
      <c r="AI264" s="46"/>
      <c r="AJ264" s="46"/>
      <c r="AK264" s="46"/>
      <c r="AL264" s="46"/>
      <c r="AM264" s="46"/>
      <c r="AN264" s="46"/>
      <c r="AO264" s="46"/>
      <c r="AP264" s="46"/>
      <c r="AQ264" s="46"/>
      <c r="AR264" s="46"/>
      <c r="AS264" s="46"/>
      <c r="AT264" s="19"/>
      <c r="AU264" s="19"/>
      <c r="AV264" s="19"/>
      <c r="AW264" s="19"/>
      <c r="AX264" s="19"/>
      <c r="AY264" s="19"/>
      <c r="AZ264" s="19"/>
      <c r="BA264" s="19"/>
      <c r="BB264" s="19"/>
      <c r="BC264" s="19"/>
      <c r="BD264" s="19"/>
      <c r="BE264" s="19"/>
      <c r="BF264" s="19"/>
      <c r="BG264" s="19"/>
      <c r="BH264" s="19"/>
      <c r="BI264" s="19"/>
      <c r="BJ264" s="19"/>
    </row>
    <row r="265" spans="21:62" s="1" customFormat="1" ht="12.75" customHeight="1">
      <c r="U265" s="19"/>
      <c r="V265" s="19"/>
      <c r="W265" s="19"/>
      <c r="X265" s="19"/>
      <c r="Y265" s="19"/>
      <c r="Z265" s="19"/>
      <c r="AA265" s="19"/>
      <c r="AB265" s="19"/>
      <c r="AC265" s="19"/>
      <c r="AD265" s="46"/>
      <c r="AE265" s="46"/>
      <c r="AF265" s="46"/>
      <c r="AG265" s="46"/>
      <c r="AH265" s="46"/>
      <c r="AI265" s="46"/>
      <c r="AJ265" s="46"/>
      <c r="AK265" s="46"/>
      <c r="AL265" s="46"/>
      <c r="AM265" s="46"/>
      <c r="AN265" s="46"/>
      <c r="AO265" s="46"/>
      <c r="AP265" s="46"/>
      <c r="AQ265" s="46"/>
      <c r="AR265" s="46"/>
      <c r="AS265" s="46"/>
      <c r="AT265" s="19"/>
      <c r="AU265" s="19"/>
      <c r="AV265" s="19"/>
      <c r="AW265" s="19"/>
      <c r="AX265" s="19"/>
      <c r="AY265" s="19"/>
      <c r="AZ265" s="19"/>
      <c r="BA265" s="19"/>
      <c r="BB265" s="19"/>
      <c r="BC265" s="19"/>
      <c r="BD265" s="19"/>
      <c r="BE265" s="19"/>
      <c r="BF265" s="19"/>
      <c r="BG265" s="19"/>
      <c r="BH265" s="19"/>
      <c r="BI265" s="19"/>
      <c r="BJ265" s="19"/>
    </row>
    <row r="266" spans="21:62" s="1" customFormat="1" ht="12.75" customHeight="1">
      <c r="U266" s="19"/>
      <c r="V266" s="19"/>
      <c r="W266" s="19"/>
      <c r="X266" s="19"/>
      <c r="Y266" s="19"/>
      <c r="Z266" s="19"/>
      <c r="AA266" s="19"/>
      <c r="AB266" s="19"/>
      <c r="AC266" s="19"/>
      <c r="AD266" s="46"/>
      <c r="AE266" s="46"/>
      <c r="AF266" s="46"/>
      <c r="AG266" s="46"/>
      <c r="AH266" s="46"/>
      <c r="AI266" s="46"/>
      <c r="AJ266" s="46"/>
      <c r="AK266" s="46"/>
      <c r="AL266" s="46"/>
      <c r="AM266" s="46"/>
      <c r="AN266" s="46"/>
      <c r="AO266" s="46"/>
      <c r="AP266" s="46"/>
      <c r="AQ266" s="46"/>
      <c r="AR266" s="46"/>
      <c r="AS266" s="46"/>
      <c r="AT266" s="19"/>
      <c r="AU266" s="19"/>
      <c r="AV266" s="19"/>
      <c r="AW266" s="19"/>
      <c r="AX266" s="19"/>
      <c r="AY266" s="19"/>
      <c r="AZ266" s="19"/>
      <c r="BA266" s="19"/>
      <c r="BB266" s="19"/>
      <c r="BC266" s="19"/>
      <c r="BD266" s="19"/>
      <c r="BE266" s="19"/>
      <c r="BF266" s="19"/>
      <c r="BG266" s="19"/>
      <c r="BH266" s="19"/>
      <c r="BI266" s="19"/>
      <c r="BJ266" s="19"/>
    </row>
    <row r="267" spans="21:62" s="1" customFormat="1" ht="12.75" customHeight="1">
      <c r="U267" s="19"/>
      <c r="V267" s="19"/>
      <c r="W267" s="19"/>
      <c r="X267" s="19"/>
      <c r="Y267" s="19"/>
      <c r="Z267" s="19"/>
      <c r="AA267" s="19"/>
      <c r="AB267" s="19"/>
      <c r="AC267" s="19"/>
      <c r="AD267" s="46"/>
      <c r="AE267" s="46"/>
      <c r="AF267" s="46"/>
      <c r="AG267" s="46"/>
      <c r="AH267" s="46"/>
      <c r="AI267" s="46"/>
      <c r="AJ267" s="46"/>
      <c r="AK267" s="46"/>
      <c r="AL267" s="46"/>
      <c r="AM267" s="46"/>
      <c r="AN267" s="46"/>
      <c r="AO267" s="46"/>
      <c r="AP267" s="46"/>
      <c r="AQ267" s="46"/>
      <c r="AR267" s="46"/>
      <c r="AS267" s="46"/>
      <c r="AT267" s="19"/>
      <c r="AU267" s="19"/>
      <c r="AV267" s="19"/>
      <c r="AW267" s="19"/>
      <c r="AX267" s="19"/>
      <c r="AY267" s="19"/>
      <c r="AZ267" s="19"/>
      <c r="BA267" s="19"/>
      <c r="BB267" s="19"/>
      <c r="BC267" s="19"/>
      <c r="BD267" s="19"/>
      <c r="BE267" s="19"/>
      <c r="BF267" s="19"/>
      <c r="BG267" s="19"/>
      <c r="BH267" s="19"/>
      <c r="BI267" s="19"/>
      <c r="BJ267" s="19"/>
    </row>
    <row r="268" spans="21:62" s="1" customFormat="1" ht="12.75" customHeight="1">
      <c r="U268" s="19"/>
      <c r="V268" s="19"/>
      <c r="W268" s="19"/>
      <c r="X268" s="19"/>
      <c r="Y268" s="19"/>
      <c r="Z268" s="19"/>
      <c r="AA268" s="19"/>
      <c r="AB268" s="19"/>
      <c r="AC268" s="19"/>
      <c r="AD268" s="46"/>
      <c r="AE268" s="46"/>
      <c r="AF268" s="46"/>
      <c r="AG268" s="46"/>
      <c r="AH268" s="46"/>
      <c r="AI268" s="46"/>
      <c r="AJ268" s="46"/>
      <c r="AK268" s="46"/>
      <c r="AL268" s="46"/>
      <c r="AM268" s="46"/>
      <c r="AN268" s="46"/>
      <c r="AO268" s="46"/>
      <c r="AP268" s="46"/>
      <c r="AQ268" s="46"/>
      <c r="AR268" s="46"/>
      <c r="AS268" s="46"/>
      <c r="AT268" s="19"/>
      <c r="AU268" s="19"/>
      <c r="AV268" s="19"/>
      <c r="AW268" s="19"/>
      <c r="AX268" s="19"/>
      <c r="AY268" s="19"/>
      <c r="AZ268" s="19"/>
      <c r="BA268" s="19"/>
      <c r="BB268" s="19"/>
      <c r="BC268" s="19"/>
      <c r="BD268" s="19"/>
      <c r="BE268" s="19"/>
      <c r="BF268" s="19"/>
      <c r="BG268" s="19"/>
      <c r="BH268" s="19"/>
      <c r="BI268" s="19"/>
      <c r="BJ268" s="19"/>
    </row>
    <row r="269" spans="21:62" s="1" customFormat="1" ht="12.75" customHeight="1">
      <c r="U269" s="19"/>
      <c r="V269" s="19"/>
      <c r="W269" s="19"/>
      <c r="X269" s="19"/>
      <c r="Y269" s="19"/>
      <c r="Z269" s="19"/>
      <c r="AA269" s="19"/>
      <c r="AB269" s="19"/>
      <c r="AC269" s="19"/>
      <c r="AD269" s="46"/>
      <c r="AE269" s="46"/>
      <c r="AF269" s="46"/>
      <c r="AG269" s="46"/>
      <c r="AH269" s="46"/>
      <c r="AI269" s="46"/>
      <c r="AJ269" s="46"/>
      <c r="AK269" s="46"/>
      <c r="AL269" s="46"/>
      <c r="AM269" s="46"/>
      <c r="AN269" s="46"/>
      <c r="AO269" s="46"/>
      <c r="AP269" s="46"/>
      <c r="AQ269" s="46"/>
      <c r="AR269" s="46"/>
      <c r="AS269" s="46"/>
      <c r="AT269" s="19"/>
      <c r="AU269" s="19"/>
      <c r="AV269" s="19"/>
      <c r="AW269" s="19"/>
      <c r="AX269" s="19"/>
      <c r="AY269" s="19"/>
      <c r="AZ269" s="19"/>
      <c r="BA269" s="19"/>
      <c r="BB269" s="19"/>
      <c r="BC269" s="19"/>
      <c r="BD269" s="19"/>
      <c r="BE269" s="19"/>
      <c r="BF269" s="19"/>
      <c r="BG269" s="19"/>
      <c r="BH269" s="19"/>
      <c r="BI269" s="19"/>
      <c r="BJ269" s="19"/>
    </row>
    <row r="270" spans="21:62" s="1" customFormat="1" ht="12.75" customHeight="1">
      <c r="U270" s="19"/>
      <c r="V270" s="19"/>
      <c r="W270" s="19"/>
      <c r="X270" s="19"/>
      <c r="Y270" s="19"/>
      <c r="Z270" s="19"/>
      <c r="AA270" s="19"/>
      <c r="AB270" s="19"/>
      <c r="AC270" s="19"/>
      <c r="AD270" s="46"/>
      <c r="AE270" s="46"/>
      <c r="AF270" s="46"/>
      <c r="AG270" s="46"/>
      <c r="AH270" s="46"/>
      <c r="AI270" s="46"/>
      <c r="AJ270" s="46"/>
      <c r="AK270" s="46"/>
      <c r="AL270" s="46"/>
      <c r="AM270" s="46"/>
      <c r="AN270" s="46"/>
      <c r="AO270" s="46"/>
      <c r="AP270" s="46"/>
      <c r="AQ270" s="46"/>
      <c r="AR270" s="46"/>
      <c r="AS270" s="46"/>
      <c r="AT270" s="19"/>
      <c r="AU270" s="19"/>
      <c r="AV270" s="19"/>
      <c r="AW270" s="19"/>
      <c r="AX270" s="19"/>
      <c r="AY270" s="19"/>
      <c r="AZ270" s="19"/>
      <c r="BA270" s="19"/>
      <c r="BB270" s="19"/>
      <c r="BC270" s="19"/>
      <c r="BD270" s="19"/>
      <c r="BE270" s="19"/>
      <c r="BF270" s="19"/>
      <c r="BG270" s="19"/>
      <c r="BH270" s="19"/>
      <c r="BI270" s="19"/>
      <c r="BJ270" s="19"/>
    </row>
    <row r="271" spans="21:62" s="1" customFormat="1" ht="12.75" customHeight="1">
      <c r="U271" s="19"/>
      <c r="V271" s="19"/>
      <c r="W271" s="19"/>
      <c r="X271" s="19"/>
      <c r="Y271" s="19"/>
      <c r="Z271" s="19"/>
      <c r="AA271" s="19"/>
      <c r="AB271" s="19"/>
      <c r="AC271" s="19"/>
      <c r="AD271" s="46"/>
      <c r="AE271" s="46"/>
      <c r="AF271" s="46"/>
      <c r="AG271" s="46"/>
      <c r="AH271" s="46"/>
      <c r="AI271" s="46"/>
      <c r="AJ271" s="46"/>
      <c r="AK271" s="46"/>
      <c r="AL271" s="46"/>
      <c r="AM271" s="46"/>
      <c r="AN271" s="46"/>
      <c r="AO271" s="46"/>
      <c r="AP271" s="46"/>
      <c r="AQ271" s="46"/>
      <c r="AR271" s="46"/>
      <c r="AS271" s="46"/>
      <c r="AT271" s="19"/>
      <c r="AU271" s="19"/>
      <c r="AV271" s="19"/>
      <c r="AW271" s="19"/>
      <c r="AX271" s="19"/>
      <c r="AY271" s="19"/>
      <c r="AZ271" s="19"/>
      <c r="BA271" s="19"/>
      <c r="BB271" s="19"/>
      <c r="BC271" s="19"/>
      <c r="BD271" s="19"/>
      <c r="BE271" s="19"/>
      <c r="BF271" s="19"/>
      <c r="BG271" s="19"/>
      <c r="BH271" s="19"/>
      <c r="BI271" s="19"/>
      <c r="BJ271" s="19"/>
    </row>
    <row r="272" spans="21:62" s="1" customFormat="1" ht="12.75" customHeight="1">
      <c r="U272" s="19"/>
      <c r="V272" s="19"/>
      <c r="W272" s="19"/>
      <c r="X272" s="19"/>
      <c r="Y272" s="19"/>
      <c r="Z272" s="19"/>
      <c r="AA272" s="19"/>
      <c r="AB272" s="19"/>
      <c r="AC272" s="19"/>
      <c r="AD272" s="46"/>
      <c r="AE272" s="46"/>
      <c r="AF272" s="46"/>
      <c r="AG272" s="46"/>
      <c r="AH272" s="46"/>
      <c r="AI272" s="46"/>
      <c r="AJ272" s="46"/>
      <c r="AK272" s="46"/>
      <c r="AL272" s="46"/>
      <c r="AM272" s="46"/>
      <c r="AN272" s="46"/>
      <c r="AO272" s="46"/>
      <c r="AP272" s="46"/>
      <c r="AQ272" s="46"/>
      <c r="AR272" s="46"/>
      <c r="AS272" s="46"/>
      <c r="AT272" s="19"/>
      <c r="AU272" s="19"/>
      <c r="AV272" s="19"/>
      <c r="AW272" s="19"/>
      <c r="AX272" s="19"/>
      <c r="AY272" s="19"/>
      <c r="AZ272" s="19"/>
      <c r="BA272" s="19"/>
      <c r="BB272" s="19"/>
      <c r="BC272" s="19"/>
      <c r="BD272" s="19"/>
      <c r="BE272" s="19"/>
      <c r="BF272" s="19"/>
      <c r="BG272" s="19"/>
      <c r="BH272" s="19"/>
      <c r="BI272" s="19"/>
      <c r="BJ272" s="19"/>
    </row>
    <row r="273" spans="21:62" s="1" customFormat="1" ht="12.75" customHeight="1">
      <c r="U273" s="19"/>
      <c r="V273" s="19"/>
      <c r="W273" s="19"/>
      <c r="X273" s="19"/>
      <c r="Y273" s="19"/>
      <c r="Z273" s="19"/>
      <c r="AA273" s="19"/>
      <c r="AB273" s="19"/>
      <c r="AC273" s="19"/>
      <c r="AD273" s="46"/>
      <c r="AE273" s="46"/>
      <c r="AF273" s="46"/>
      <c r="AG273" s="46"/>
      <c r="AH273" s="46"/>
      <c r="AI273" s="46"/>
      <c r="AJ273" s="46"/>
      <c r="AK273" s="46"/>
      <c r="AL273" s="46"/>
      <c r="AM273" s="46"/>
      <c r="AN273" s="46"/>
      <c r="AO273" s="46"/>
      <c r="AP273" s="46"/>
      <c r="AQ273" s="46"/>
      <c r="AR273" s="46"/>
      <c r="AS273" s="46"/>
      <c r="AT273" s="19"/>
      <c r="AU273" s="19"/>
      <c r="AV273" s="19"/>
      <c r="AW273" s="19"/>
      <c r="AX273" s="19"/>
      <c r="AY273" s="19"/>
      <c r="AZ273" s="19"/>
      <c r="BA273" s="19"/>
      <c r="BB273" s="19"/>
      <c r="BC273" s="19"/>
      <c r="BD273" s="19"/>
      <c r="BE273" s="19"/>
      <c r="BF273" s="19"/>
      <c r="BG273" s="19"/>
      <c r="BH273" s="19"/>
      <c r="BI273" s="19"/>
      <c r="BJ273" s="19"/>
    </row>
    <row r="274" spans="21:62" s="1" customFormat="1" ht="12.75" customHeight="1">
      <c r="U274" s="19"/>
      <c r="V274" s="19"/>
      <c r="W274" s="19"/>
      <c r="X274" s="19"/>
      <c r="Y274" s="19"/>
      <c r="Z274" s="19"/>
      <c r="AA274" s="19"/>
      <c r="AB274" s="19"/>
      <c r="AC274" s="19"/>
      <c r="AD274" s="46"/>
      <c r="AE274" s="46"/>
      <c r="AF274" s="46"/>
      <c r="AG274" s="46"/>
      <c r="AH274" s="46"/>
      <c r="AI274" s="46"/>
      <c r="AJ274" s="46"/>
      <c r="AK274" s="46"/>
      <c r="AL274" s="46"/>
      <c r="AM274" s="46"/>
      <c r="AN274" s="46"/>
      <c r="AO274" s="46"/>
      <c r="AP274" s="46"/>
      <c r="AQ274" s="46"/>
      <c r="AR274" s="46"/>
      <c r="AS274" s="46"/>
      <c r="AT274" s="19"/>
      <c r="AU274" s="19"/>
      <c r="AV274" s="19"/>
      <c r="AW274" s="19"/>
      <c r="AX274" s="19"/>
      <c r="AY274" s="19"/>
      <c r="AZ274" s="19"/>
      <c r="BA274" s="19"/>
      <c r="BB274" s="19"/>
      <c r="BC274" s="19"/>
      <c r="BD274" s="19"/>
      <c r="BE274" s="19"/>
      <c r="BF274" s="19"/>
      <c r="BG274" s="19"/>
      <c r="BH274" s="19"/>
      <c r="BI274" s="19"/>
      <c r="BJ274" s="19"/>
    </row>
    <row r="275" spans="21:62" s="1" customFormat="1" ht="12.75" customHeight="1">
      <c r="U275" s="19"/>
      <c r="V275" s="19"/>
      <c r="W275" s="19"/>
      <c r="X275" s="19"/>
      <c r="Y275" s="19"/>
      <c r="Z275" s="19"/>
      <c r="AA275" s="19"/>
      <c r="AB275" s="19"/>
      <c r="AC275" s="19"/>
      <c r="AD275" s="46"/>
      <c r="AE275" s="46"/>
      <c r="AF275" s="46"/>
      <c r="AG275" s="46"/>
      <c r="AH275" s="46"/>
      <c r="AI275" s="46"/>
      <c r="AJ275" s="46"/>
      <c r="AK275" s="46"/>
      <c r="AL275" s="46"/>
      <c r="AM275" s="46"/>
      <c r="AN275" s="46"/>
      <c r="AO275" s="46"/>
      <c r="AP275" s="46"/>
      <c r="AQ275" s="46"/>
      <c r="AR275" s="46"/>
      <c r="AS275" s="46"/>
      <c r="AT275" s="19"/>
      <c r="AU275" s="19"/>
      <c r="AV275" s="19"/>
      <c r="AW275" s="19"/>
      <c r="AX275" s="19"/>
      <c r="AY275" s="19"/>
      <c r="AZ275" s="19"/>
      <c r="BA275" s="19"/>
      <c r="BB275" s="19"/>
      <c r="BC275" s="19"/>
      <c r="BD275" s="19"/>
      <c r="BE275" s="19"/>
      <c r="BF275" s="19"/>
      <c r="BG275" s="19"/>
      <c r="BH275" s="19"/>
      <c r="BI275" s="19"/>
      <c r="BJ275" s="19"/>
    </row>
    <row r="276" spans="21:62" s="1" customFormat="1" ht="12.75" customHeight="1">
      <c r="U276" s="19"/>
      <c r="V276" s="19"/>
      <c r="W276" s="19"/>
      <c r="X276" s="19"/>
      <c r="Y276" s="19"/>
      <c r="Z276" s="19"/>
      <c r="AA276" s="19"/>
      <c r="AB276" s="19"/>
      <c r="AC276" s="19"/>
      <c r="AD276" s="46"/>
      <c r="AE276" s="46"/>
      <c r="AF276" s="46"/>
      <c r="AG276" s="46"/>
      <c r="AH276" s="46"/>
      <c r="AI276" s="46"/>
      <c r="AJ276" s="46"/>
      <c r="AK276" s="46"/>
      <c r="AL276" s="46"/>
      <c r="AM276" s="46"/>
      <c r="AN276" s="46"/>
      <c r="AO276" s="46"/>
      <c r="AP276" s="46"/>
      <c r="AQ276" s="46"/>
      <c r="AR276" s="46"/>
      <c r="AS276" s="46"/>
      <c r="AT276" s="19"/>
      <c r="AU276" s="19"/>
      <c r="AV276" s="19"/>
      <c r="AW276" s="19"/>
      <c r="AX276" s="19"/>
      <c r="AY276" s="19"/>
      <c r="AZ276" s="19"/>
      <c r="BA276" s="19"/>
      <c r="BB276" s="19"/>
      <c r="BC276" s="19"/>
      <c r="BD276" s="19"/>
      <c r="BE276" s="19"/>
      <c r="BF276" s="19"/>
      <c r="BG276" s="19"/>
      <c r="BH276" s="19"/>
      <c r="BI276" s="19"/>
      <c r="BJ276" s="19"/>
    </row>
    <row r="277" spans="21:62" s="1" customFormat="1" ht="12.75" customHeight="1">
      <c r="U277" s="19"/>
      <c r="V277" s="19"/>
      <c r="W277" s="19"/>
      <c r="X277" s="19"/>
      <c r="Y277" s="19"/>
      <c r="Z277" s="19"/>
      <c r="AA277" s="19"/>
      <c r="AB277" s="19"/>
      <c r="AC277" s="19"/>
      <c r="AD277" s="46"/>
      <c r="AE277" s="46"/>
      <c r="AF277" s="46"/>
      <c r="AG277" s="46"/>
      <c r="AH277" s="46"/>
      <c r="AI277" s="46"/>
      <c r="AJ277" s="46"/>
      <c r="AK277" s="46"/>
      <c r="AL277" s="46"/>
      <c r="AM277" s="46"/>
      <c r="AN277" s="46"/>
      <c r="AO277" s="46"/>
      <c r="AP277" s="46"/>
      <c r="AQ277" s="46"/>
      <c r="AR277" s="46"/>
      <c r="AS277" s="46"/>
      <c r="AT277" s="19"/>
      <c r="AU277" s="19"/>
      <c r="AV277" s="19"/>
      <c r="AW277" s="19"/>
      <c r="AX277" s="19"/>
      <c r="AY277" s="19"/>
      <c r="AZ277" s="19"/>
      <c r="BA277" s="19"/>
      <c r="BB277" s="19"/>
      <c r="BC277" s="19"/>
      <c r="BD277" s="19"/>
      <c r="BE277" s="19"/>
      <c r="BF277" s="19"/>
      <c r="BG277" s="19"/>
      <c r="BH277" s="19"/>
      <c r="BI277" s="19"/>
      <c r="BJ277" s="19"/>
    </row>
    <row r="278" spans="21:62" s="1" customFormat="1" ht="12.75" customHeight="1">
      <c r="U278" s="19"/>
      <c r="V278" s="19"/>
      <c r="W278" s="19"/>
      <c r="X278" s="19"/>
      <c r="Y278" s="19"/>
      <c r="Z278" s="19"/>
      <c r="AA278" s="19"/>
      <c r="AB278" s="19"/>
      <c r="AC278" s="19"/>
      <c r="AD278" s="46"/>
      <c r="AE278" s="46"/>
      <c r="AF278" s="46"/>
      <c r="AG278" s="46"/>
      <c r="AH278" s="46"/>
      <c r="AI278" s="46"/>
      <c r="AJ278" s="46"/>
      <c r="AK278" s="46"/>
      <c r="AL278" s="46"/>
      <c r="AM278" s="46"/>
      <c r="AN278" s="46"/>
      <c r="AO278" s="46"/>
      <c r="AP278" s="46"/>
      <c r="AQ278" s="46"/>
      <c r="AR278" s="46"/>
      <c r="AS278" s="46"/>
      <c r="AT278" s="19"/>
      <c r="AU278" s="19"/>
      <c r="AV278" s="19"/>
      <c r="AW278" s="19"/>
      <c r="AX278" s="19"/>
      <c r="AY278" s="19"/>
      <c r="AZ278" s="19"/>
      <c r="BA278" s="19"/>
      <c r="BB278" s="19"/>
      <c r="BC278" s="19"/>
      <c r="BD278" s="19"/>
      <c r="BE278" s="19"/>
      <c r="BF278" s="19"/>
      <c r="BG278" s="19"/>
      <c r="BH278" s="19"/>
      <c r="BI278" s="19"/>
      <c r="BJ278" s="19"/>
    </row>
    <row r="279" spans="21:62" s="1" customFormat="1" ht="12.75" customHeight="1">
      <c r="U279" s="19"/>
      <c r="V279" s="19"/>
      <c r="W279" s="19"/>
      <c r="X279" s="19"/>
      <c r="Y279" s="19"/>
      <c r="Z279" s="19"/>
      <c r="AA279" s="19"/>
      <c r="AB279" s="19"/>
      <c r="AC279" s="19"/>
      <c r="AD279" s="46"/>
      <c r="AE279" s="46"/>
      <c r="AF279" s="46"/>
      <c r="AG279" s="46"/>
      <c r="AH279" s="46"/>
      <c r="AI279" s="46"/>
      <c r="AJ279" s="46"/>
      <c r="AK279" s="46"/>
      <c r="AL279" s="46"/>
      <c r="AM279" s="46"/>
      <c r="AN279" s="46"/>
      <c r="AO279" s="46"/>
      <c r="AP279" s="46"/>
      <c r="AQ279" s="46"/>
      <c r="AR279" s="46"/>
      <c r="AS279" s="46"/>
      <c r="AT279" s="19"/>
      <c r="AU279" s="19"/>
      <c r="AV279" s="19"/>
      <c r="AW279" s="19"/>
      <c r="AX279" s="19"/>
      <c r="AY279" s="19"/>
      <c r="AZ279" s="19"/>
      <c r="BA279" s="19"/>
      <c r="BB279" s="19"/>
      <c r="BC279" s="19"/>
      <c r="BD279" s="19"/>
      <c r="BE279" s="19"/>
      <c r="BF279" s="19"/>
      <c r="BG279" s="19"/>
      <c r="BH279" s="19"/>
      <c r="BI279" s="19"/>
      <c r="BJ279" s="19"/>
    </row>
    <row r="280" spans="21:62" s="1" customFormat="1" ht="12.75" customHeight="1">
      <c r="U280" s="19"/>
      <c r="V280" s="19"/>
      <c r="W280" s="19"/>
      <c r="X280" s="19"/>
      <c r="Y280" s="19"/>
      <c r="Z280" s="19"/>
      <c r="AA280" s="19"/>
      <c r="AB280" s="19"/>
      <c r="AC280" s="19"/>
      <c r="AD280" s="46"/>
      <c r="AE280" s="46"/>
      <c r="AF280" s="46"/>
      <c r="AG280" s="46"/>
      <c r="AH280" s="46"/>
      <c r="AI280" s="46"/>
      <c r="AJ280" s="46"/>
      <c r="AK280" s="46"/>
      <c r="AL280" s="46"/>
      <c r="AM280" s="46"/>
      <c r="AN280" s="46"/>
      <c r="AO280" s="46"/>
      <c r="AP280" s="46"/>
      <c r="AQ280" s="46"/>
      <c r="AR280" s="46"/>
      <c r="AS280" s="46"/>
      <c r="AT280" s="19"/>
      <c r="AU280" s="19"/>
      <c r="AV280" s="19"/>
      <c r="AW280" s="19"/>
      <c r="AX280" s="19"/>
      <c r="AY280" s="19"/>
      <c r="AZ280" s="19"/>
      <c r="BA280" s="19"/>
      <c r="BB280" s="19"/>
      <c r="BC280" s="19"/>
      <c r="BD280" s="19"/>
      <c r="BE280" s="19"/>
      <c r="BF280" s="19"/>
      <c r="BG280" s="19"/>
      <c r="BH280" s="19"/>
      <c r="BI280" s="19"/>
      <c r="BJ280" s="19"/>
    </row>
    <row r="281" spans="21:62" s="1" customFormat="1" ht="12.75" customHeight="1">
      <c r="U281" s="19"/>
      <c r="V281" s="19"/>
      <c r="W281" s="19"/>
      <c r="X281" s="19"/>
      <c r="Y281" s="19"/>
      <c r="Z281" s="19"/>
      <c r="AA281" s="19"/>
      <c r="AB281" s="19"/>
      <c r="AC281" s="19"/>
      <c r="AD281" s="46"/>
      <c r="AE281" s="46"/>
      <c r="AF281" s="46"/>
      <c r="AG281" s="46"/>
      <c r="AH281" s="46"/>
      <c r="AI281" s="46"/>
      <c r="AJ281" s="46"/>
      <c r="AK281" s="46"/>
      <c r="AL281" s="46"/>
      <c r="AM281" s="46"/>
      <c r="AN281" s="46"/>
      <c r="AO281" s="46"/>
      <c r="AP281" s="46"/>
      <c r="AQ281" s="46"/>
      <c r="AR281" s="46"/>
      <c r="AS281" s="46"/>
      <c r="AT281" s="19"/>
      <c r="AU281" s="19"/>
      <c r="AV281" s="19"/>
      <c r="AW281" s="19"/>
      <c r="AX281" s="19"/>
      <c r="AY281" s="19"/>
      <c r="AZ281" s="19"/>
      <c r="BA281" s="19"/>
      <c r="BB281" s="19"/>
      <c r="BC281" s="19"/>
      <c r="BD281" s="19"/>
      <c r="BE281" s="19"/>
      <c r="BF281" s="19"/>
      <c r="BG281" s="19"/>
      <c r="BH281" s="19"/>
      <c r="BI281" s="19"/>
      <c r="BJ281" s="19"/>
    </row>
    <row r="282" spans="21:62" s="1" customFormat="1" ht="12.75" customHeight="1">
      <c r="U282" s="19"/>
      <c r="V282" s="19"/>
      <c r="W282" s="19"/>
      <c r="X282" s="19"/>
      <c r="Y282" s="19"/>
      <c r="Z282" s="19"/>
      <c r="AA282" s="19"/>
      <c r="AB282" s="19"/>
      <c r="AC282" s="19"/>
      <c r="AD282" s="46"/>
      <c r="AE282" s="46"/>
      <c r="AF282" s="46"/>
      <c r="AG282" s="46"/>
      <c r="AH282" s="46"/>
      <c r="AI282" s="46"/>
      <c r="AJ282" s="46"/>
      <c r="AK282" s="46"/>
      <c r="AL282" s="46"/>
      <c r="AM282" s="46"/>
      <c r="AN282" s="46"/>
      <c r="AO282" s="46"/>
      <c r="AP282" s="46"/>
      <c r="AQ282" s="46"/>
      <c r="AR282" s="46"/>
      <c r="AS282" s="46"/>
      <c r="AT282" s="19"/>
      <c r="AU282" s="19"/>
      <c r="AV282" s="19"/>
      <c r="AW282" s="19"/>
      <c r="AX282" s="19"/>
      <c r="AY282" s="19"/>
      <c r="AZ282" s="19"/>
      <c r="BA282" s="19"/>
      <c r="BB282" s="19"/>
      <c r="BC282" s="19"/>
      <c r="BD282" s="19"/>
      <c r="BE282" s="19"/>
      <c r="BF282" s="19"/>
      <c r="BG282" s="19"/>
      <c r="BH282" s="19"/>
      <c r="BI282" s="19"/>
      <c r="BJ282" s="19"/>
    </row>
    <row r="283" spans="21:62" s="1" customFormat="1" ht="12.75" customHeight="1">
      <c r="U283" s="19"/>
      <c r="V283" s="19"/>
      <c r="W283" s="19"/>
      <c r="X283" s="19"/>
      <c r="Y283" s="19"/>
      <c r="Z283" s="19"/>
      <c r="AA283" s="19"/>
      <c r="AB283" s="19"/>
      <c r="AC283" s="19"/>
      <c r="AD283" s="46"/>
      <c r="AE283" s="46"/>
      <c r="AF283" s="46"/>
      <c r="AG283" s="46"/>
      <c r="AH283" s="46"/>
      <c r="AI283" s="46"/>
      <c r="AJ283" s="46"/>
      <c r="AK283" s="46"/>
      <c r="AL283" s="46"/>
      <c r="AM283" s="46"/>
      <c r="AN283" s="46"/>
      <c r="AO283" s="46"/>
      <c r="AP283" s="46"/>
      <c r="AQ283" s="46"/>
      <c r="AR283" s="46"/>
      <c r="AS283" s="46"/>
      <c r="AT283" s="19"/>
      <c r="AU283" s="19"/>
      <c r="AV283" s="19"/>
      <c r="AW283" s="19"/>
      <c r="AX283" s="19"/>
      <c r="AY283" s="19"/>
      <c r="AZ283" s="19"/>
      <c r="BA283" s="19"/>
      <c r="BB283" s="19"/>
      <c r="BC283" s="19"/>
      <c r="BD283" s="19"/>
      <c r="BE283" s="19"/>
      <c r="BF283" s="19"/>
      <c r="BG283" s="19"/>
      <c r="BH283" s="19"/>
      <c r="BI283" s="19"/>
      <c r="BJ283" s="19"/>
    </row>
    <row r="284" spans="21:62" s="1" customFormat="1" ht="12.75" customHeight="1">
      <c r="U284" s="19"/>
      <c r="V284" s="19"/>
      <c r="W284" s="19"/>
      <c r="X284" s="19"/>
      <c r="Y284" s="19"/>
      <c r="Z284" s="19"/>
      <c r="AA284" s="19"/>
      <c r="AB284" s="19"/>
      <c r="AC284" s="19"/>
      <c r="AD284" s="46"/>
      <c r="AE284" s="46"/>
      <c r="AF284" s="46"/>
      <c r="AG284" s="46"/>
      <c r="AH284" s="46"/>
      <c r="AI284" s="46"/>
      <c r="AJ284" s="46"/>
      <c r="AK284" s="46"/>
      <c r="AL284" s="46"/>
      <c r="AM284" s="46"/>
      <c r="AN284" s="46"/>
      <c r="AO284" s="46"/>
      <c r="AP284" s="46"/>
      <c r="AQ284" s="46"/>
      <c r="AR284" s="46"/>
      <c r="AS284" s="46"/>
      <c r="AT284" s="19"/>
      <c r="AU284" s="19"/>
      <c r="AV284" s="19"/>
      <c r="AW284" s="19"/>
      <c r="AX284" s="19"/>
      <c r="AY284" s="19"/>
      <c r="AZ284" s="19"/>
      <c r="BA284" s="19"/>
      <c r="BB284" s="19"/>
      <c r="BC284" s="19"/>
      <c r="BD284" s="19"/>
      <c r="BE284" s="19"/>
      <c r="BF284" s="19"/>
      <c r="BG284" s="19"/>
      <c r="BH284" s="19"/>
      <c r="BI284" s="19"/>
      <c r="BJ284" s="19"/>
    </row>
    <row r="285" spans="21:62" s="1" customFormat="1" ht="12.75" customHeight="1">
      <c r="U285" s="19"/>
      <c r="V285" s="19"/>
      <c r="W285" s="19"/>
      <c r="X285" s="19"/>
      <c r="Y285" s="19"/>
      <c r="Z285" s="19"/>
      <c r="AA285" s="19"/>
      <c r="AB285" s="19"/>
      <c r="AC285" s="19"/>
      <c r="AD285" s="46"/>
      <c r="AE285" s="46"/>
      <c r="AF285" s="46"/>
      <c r="AG285" s="46"/>
      <c r="AH285" s="46"/>
      <c r="AI285" s="46"/>
      <c r="AJ285" s="46"/>
      <c r="AK285" s="46"/>
      <c r="AL285" s="46"/>
      <c r="AM285" s="46"/>
      <c r="AN285" s="46"/>
      <c r="AO285" s="46"/>
      <c r="AP285" s="46"/>
      <c r="AQ285" s="46"/>
      <c r="AR285" s="46"/>
      <c r="AS285" s="46"/>
      <c r="AT285" s="19"/>
      <c r="AU285" s="19"/>
      <c r="AV285" s="19"/>
      <c r="AW285" s="19"/>
      <c r="AX285" s="19"/>
      <c r="AY285" s="19"/>
      <c r="AZ285" s="19"/>
      <c r="BA285" s="19"/>
      <c r="BB285" s="19"/>
      <c r="BC285" s="19"/>
      <c r="BD285" s="19"/>
      <c r="BE285" s="19"/>
      <c r="BF285" s="19"/>
      <c r="BG285" s="19"/>
      <c r="BH285" s="19"/>
      <c r="BI285" s="19"/>
      <c r="BJ285" s="19"/>
    </row>
    <row r="286" spans="21:62" s="1" customFormat="1" ht="12.75" customHeight="1">
      <c r="U286" s="19"/>
      <c r="V286" s="19"/>
      <c r="W286" s="19"/>
      <c r="X286" s="19"/>
      <c r="Y286" s="19"/>
      <c r="Z286" s="19"/>
      <c r="AA286" s="19"/>
      <c r="AB286" s="19"/>
      <c r="AC286" s="19"/>
      <c r="AD286" s="46"/>
      <c r="AE286" s="46"/>
      <c r="AF286" s="46"/>
      <c r="AG286" s="46"/>
      <c r="AH286" s="46"/>
      <c r="AI286" s="46"/>
      <c r="AJ286" s="46"/>
      <c r="AK286" s="46"/>
      <c r="AL286" s="46"/>
      <c r="AM286" s="46"/>
      <c r="AN286" s="46"/>
      <c r="AO286" s="46"/>
      <c r="AP286" s="46"/>
      <c r="AQ286" s="46"/>
      <c r="AR286" s="46"/>
      <c r="AS286" s="46"/>
      <c r="AT286" s="19"/>
      <c r="AU286" s="19"/>
      <c r="AV286" s="19"/>
      <c r="AW286" s="19"/>
      <c r="AX286" s="19"/>
      <c r="AY286" s="19"/>
      <c r="AZ286" s="19"/>
      <c r="BA286" s="19"/>
      <c r="BB286" s="19"/>
      <c r="BC286" s="19"/>
      <c r="BD286" s="19"/>
      <c r="BE286" s="19"/>
      <c r="BF286" s="19"/>
      <c r="BG286" s="19"/>
      <c r="BH286" s="19"/>
      <c r="BI286" s="19"/>
      <c r="BJ286" s="19"/>
    </row>
    <row r="287" spans="21:62" s="1" customFormat="1" ht="12.75" customHeight="1">
      <c r="U287" s="19"/>
      <c r="V287" s="19"/>
      <c r="W287" s="19"/>
      <c r="X287" s="19"/>
      <c r="Y287" s="19"/>
      <c r="Z287" s="19"/>
      <c r="AA287" s="19"/>
      <c r="AB287" s="19"/>
      <c r="AC287" s="19"/>
      <c r="AD287" s="46"/>
      <c r="AE287" s="46"/>
      <c r="AF287" s="46"/>
      <c r="AG287" s="46"/>
      <c r="AH287" s="46"/>
      <c r="AI287" s="46"/>
      <c r="AJ287" s="46"/>
      <c r="AK287" s="46"/>
      <c r="AL287" s="46"/>
      <c r="AM287" s="46"/>
      <c r="AN287" s="46"/>
      <c r="AO287" s="46"/>
      <c r="AP287" s="46"/>
      <c r="AQ287" s="46"/>
      <c r="AR287" s="46"/>
      <c r="AS287" s="46"/>
      <c r="AT287" s="19"/>
      <c r="AU287" s="19"/>
      <c r="AV287" s="19"/>
      <c r="AW287" s="19"/>
      <c r="AX287" s="19"/>
      <c r="AY287" s="19"/>
      <c r="AZ287" s="19"/>
      <c r="BA287" s="19"/>
      <c r="BB287" s="19"/>
      <c r="BC287" s="19"/>
      <c r="BD287" s="19"/>
      <c r="BE287" s="19"/>
      <c r="BF287" s="19"/>
      <c r="BG287" s="19"/>
      <c r="BH287" s="19"/>
      <c r="BI287" s="19"/>
      <c r="BJ287" s="19"/>
    </row>
    <row r="288" spans="21:62" s="1" customFormat="1" ht="12.75" customHeight="1">
      <c r="U288" s="19"/>
      <c r="V288" s="19"/>
      <c r="W288" s="19"/>
      <c r="X288" s="19"/>
      <c r="Y288" s="19"/>
      <c r="Z288" s="19"/>
      <c r="AA288" s="19"/>
      <c r="AB288" s="19"/>
      <c r="AC288" s="19"/>
      <c r="AD288" s="46"/>
      <c r="AE288" s="46"/>
      <c r="AF288" s="46"/>
      <c r="AG288" s="46"/>
      <c r="AH288" s="46"/>
      <c r="AI288" s="46"/>
      <c r="AJ288" s="46"/>
      <c r="AK288" s="46"/>
      <c r="AL288" s="46"/>
      <c r="AM288" s="46"/>
      <c r="AN288" s="46"/>
      <c r="AO288" s="46"/>
      <c r="AP288" s="46"/>
      <c r="AQ288" s="46"/>
      <c r="AR288" s="46"/>
      <c r="AS288" s="46"/>
      <c r="AT288" s="19"/>
      <c r="AU288" s="19"/>
      <c r="AV288" s="19"/>
      <c r="AW288" s="19"/>
      <c r="AX288" s="19"/>
      <c r="AY288" s="19"/>
      <c r="AZ288" s="19"/>
      <c r="BA288" s="19"/>
      <c r="BB288" s="19"/>
      <c r="BC288" s="19"/>
      <c r="BD288" s="19"/>
      <c r="BE288" s="19"/>
      <c r="BF288" s="19"/>
      <c r="BG288" s="19"/>
      <c r="BH288" s="19"/>
      <c r="BI288" s="19"/>
      <c r="BJ288" s="19"/>
    </row>
    <row r="289" spans="21:62" s="1" customFormat="1" ht="12.75" customHeight="1">
      <c r="U289" s="19"/>
      <c r="V289" s="19"/>
      <c r="W289" s="19"/>
      <c r="X289" s="19"/>
      <c r="Y289" s="19"/>
      <c r="Z289" s="19"/>
      <c r="AA289" s="19"/>
      <c r="AB289" s="19"/>
      <c r="AC289" s="19"/>
      <c r="AD289" s="46"/>
      <c r="AE289" s="46"/>
      <c r="AF289" s="46"/>
      <c r="AG289" s="46"/>
      <c r="AH289" s="46"/>
      <c r="AI289" s="46"/>
      <c r="AJ289" s="46"/>
      <c r="AK289" s="46"/>
      <c r="AL289" s="46"/>
      <c r="AM289" s="46"/>
      <c r="AN289" s="46"/>
      <c r="AO289" s="46"/>
      <c r="AP289" s="46"/>
      <c r="AQ289" s="46"/>
      <c r="AR289" s="46"/>
      <c r="AS289" s="46"/>
      <c r="AT289" s="19"/>
      <c r="AU289" s="19"/>
      <c r="AV289" s="19"/>
      <c r="AW289" s="19"/>
      <c r="AX289" s="19"/>
      <c r="AY289" s="19"/>
      <c r="AZ289" s="19"/>
      <c r="BA289" s="19"/>
      <c r="BB289" s="19"/>
      <c r="BC289" s="19"/>
      <c r="BD289" s="19"/>
      <c r="BE289" s="19"/>
      <c r="BF289" s="19"/>
      <c r="BG289" s="19"/>
      <c r="BH289" s="19"/>
      <c r="BI289" s="19"/>
      <c r="BJ289" s="19"/>
    </row>
    <row r="290" spans="21:62" s="1" customFormat="1" ht="12.75" customHeight="1">
      <c r="U290" s="19"/>
      <c r="V290" s="19"/>
      <c r="W290" s="19"/>
      <c r="X290" s="19"/>
      <c r="Y290" s="19"/>
      <c r="Z290" s="19"/>
      <c r="AA290" s="19"/>
      <c r="AB290" s="19"/>
      <c r="AC290" s="19"/>
      <c r="AD290" s="46"/>
      <c r="AE290" s="46"/>
      <c r="AF290" s="46"/>
      <c r="AG290" s="46"/>
      <c r="AH290" s="46"/>
      <c r="AI290" s="46"/>
      <c r="AJ290" s="46"/>
      <c r="AK290" s="46"/>
      <c r="AL290" s="46"/>
      <c r="AM290" s="46"/>
      <c r="AN290" s="46"/>
      <c r="AO290" s="46"/>
      <c r="AP290" s="46"/>
      <c r="AQ290" s="46"/>
      <c r="AR290" s="46"/>
      <c r="AS290" s="46"/>
      <c r="AT290" s="19"/>
      <c r="AU290" s="19"/>
      <c r="AV290" s="19"/>
      <c r="AW290" s="19"/>
      <c r="AX290" s="19"/>
      <c r="AY290" s="19"/>
      <c r="AZ290" s="19"/>
      <c r="BA290" s="19"/>
      <c r="BB290" s="19"/>
      <c r="BC290" s="19"/>
      <c r="BD290" s="19"/>
      <c r="BE290" s="19"/>
      <c r="BF290" s="19"/>
      <c r="BG290" s="19"/>
      <c r="BH290" s="19"/>
      <c r="BI290" s="19"/>
      <c r="BJ290" s="19"/>
    </row>
    <row r="291" spans="21:62" s="1" customFormat="1" ht="12.75" customHeight="1">
      <c r="U291" s="19"/>
      <c r="V291" s="19"/>
      <c r="W291" s="19"/>
      <c r="X291" s="19"/>
      <c r="Y291" s="19"/>
      <c r="Z291" s="19"/>
      <c r="AA291" s="19"/>
      <c r="AB291" s="19"/>
      <c r="AC291" s="19"/>
      <c r="AD291" s="46"/>
      <c r="AE291" s="46"/>
      <c r="AF291" s="46"/>
      <c r="AG291" s="46"/>
      <c r="AH291" s="46"/>
      <c r="AI291" s="46"/>
      <c r="AJ291" s="46"/>
      <c r="AK291" s="46"/>
      <c r="AL291" s="46"/>
      <c r="AM291" s="46"/>
      <c r="AN291" s="46"/>
      <c r="AO291" s="46"/>
      <c r="AP291" s="46"/>
      <c r="AQ291" s="46"/>
      <c r="AR291" s="46"/>
      <c r="AS291" s="46"/>
      <c r="AT291" s="19"/>
      <c r="AU291" s="19"/>
      <c r="AV291" s="19"/>
      <c r="AW291" s="19"/>
      <c r="AX291" s="19"/>
      <c r="AY291" s="19"/>
      <c r="AZ291" s="19"/>
      <c r="BA291" s="19"/>
      <c r="BB291" s="19"/>
      <c r="BC291" s="19"/>
      <c r="BD291" s="19"/>
      <c r="BE291" s="19"/>
      <c r="BF291" s="19"/>
      <c r="BG291" s="19"/>
      <c r="BH291" s="19"/>
      <c r="BI291" s="19"/>
      <c r="BJ291" s="19"/>
    </row>
    <row r="292" spans="21:62" s="1" customFormat="1" ht="12.75" customHeight="1">
      <c r="U292" s="19"/>
      <c r="V292" s="19"/>
      <c r="W292" s="19"/>
      <c r="X292" s="19"/>
      <c r="Y292" s="19"/>
      <c r="Z292" s="19"/>
      <c r="AA292" s="19"/>
      <c r="AB292" s="19"/>
      <c r="AC292" s="19"/>
      <c r="AD292" s="46"/>
      <c r="AE292" s="46"/>
      <c r="AF292" s="46"/>
      <c r="AG292" s="46"/>
      <c r="AH292" s="46"/>
      <c r="AI292" s="46"/>
      <c r="AJ292" s="46"/>
      <c r="AK292" s="46"/>
      <c r="AL292" s="46"/>
      <c r="AM292" s="46"/>
      <c r="AN292" s="46"/>
      <c r="AO292" s="46"/>
      <c r="AP292" s="46"/>
      <c r="AQ292" s="46"/>
      <c r="AR292" s="46"/>
      <c r="AS292" s="46"/>
      <c r="AT292" s="19"/>
      <c r="AU292" s="19"/>
      <c r="AV292" s="19"/>
      <c r="AW292" s="19"/>
      <c r="AX292" s="19"/>
      <c r="AY292" s="19"/>
      <c r="AZ292" s="19"/>
      <c r="BA292" s="19"/>
      <c r="BB292" s="19"/>
      <c r="BC292" s="19"/>
      <c r="BD292" s="19"/>
      <c r="BE292" s="19"/>
      <c r="BF292" s="19"/>
      <c r="BG292" s="19"/>
      <c r="BH292" s="19"/>
      <c r="BI292" s="19"/>
      <c r="BJ292" s="19"/>
    </row>
    <row r="293" spans="21:62" s="1" customFormat="1" ht="12.75" customHeight="1">
      <c r="U293" s="19"/>
      <c r="V293" s="19"/>
      <c r="W293" s="19"/>
      <c r="X293" s="19"/>
      <c r="Y293" s="19"/>
      <c r="Z293" s="19"/>
      <c r="AA293" s="19"/>
      <c r="AB293" s="19"/>
      <c r="AC293" s="19"/>
      <c r="AD293" s="46"/>
      <c r="AE293" s="46"/>
      <c r="AF293" s="46"/>
      <c r="AG293" s="46"/>
      <c r="AH293" s="46"/>
      <c r="AI293" s="46"/>
      <c r="AJ293" s="46"/>
      <c r="AK293" s="46"/>
      <c r="AL293" s="46"/>
      <c r="AM293" s="46"/>
      <c r="AN293" s="46"/>
      <c r="AO293" s="46"/>
      <c r="AP293" s="46"/>
      <c r="AQ293" s="46"/>
      <c r="AR293" s="46"/>
      <c r="AS293" s="46"/>
      <c r="AT293" s="19"/>
      <c r="AU293" s="19"/>
      <c r="AV293" s="19"/>
      <c r="AW293" s="19"/>
      <c r="AX293" s="19"/>
      <c r="AY293" s="19"/>
      <c r="AZ293" s="19"/>
      <c r="BA293" s="19"/>
      <c r="BB293" s="19"/>
      <c r="BC293" s="19"/>
      <c r="BD293" s="19"/>
      <c r="BE293" s="19"/>
      <c r="BF293" s="19"/>
      <c r="BG293" s="19"/>
      <c r="BH293" s="19"/>
      <c r="BI293" s="19"/>
      <c r="BJ293" s="19"/>
    </row>
    <row r="294" spans="21:62" s="1" customFormat="1" ht="12.75" customHeight="1">
      <c r="U294" s="19"/>
      <c r="V294" s="19"/>
      <c r="W294" s="19"/>
      <c r="X294" s="19"/>
      <c r="Y294" s="19"/>
      <c r="Z294" s="19"/>
      <c r="AA294" s="19"/>
      <c r="AB294" s="19"/>
      <c r="AC294" s="19"/>
      <c r="AD294" s="46"/>
      <c r="AE294" s="46"/>
      <c r="AF294" s="46"/>
      <c r="AG294" s="46"/>
      <c r="AH294" s="46"/>
      <c r="AI294" s="46"/>
      <c r="AJ294" s="46"/>
      <c r="AK294" s="46"/>
      <c r="AL294" s="46"/>
      <c r="AM294" s="46"/>
      <c r="AN294" s="46"/>
      <c r="AO294" s="46"/>
      <c r="AP294" s="46"/>
      <c r="AQ294" s="46"/>
      <c r="AR294" s="46"/>
      <c r="AS294" s="46"/>
      <c r="AT294" s="19"/>
      <c r="AU294" s="19"/>
      <c r="AV294" s="19"/>
      <c r="AW294" s="19"/>
      <c r="AX294" s="19"/>
      <c r="AY294" s="19"/>
      <c r="AZ294" s="19"/>
      <c r="BA294" s="19"/>
      <c r="BB294" s="19"/>
      <c r="BC294" s="19"/>
      <c r="BD294" s="19"/>
      <c r="BE294" s="19"/>
      <c r="BF294" s="19"/>
      <c r="BG294" s="19"/>
      <c r="BH294" s="19"/>
      <c r="BI294" s="19"/>
      <c r="BJ294" s="19"/>
    </row>
    <row r="295" spans="21:62" s="1" customFormat="1" ht="12.75" customHeight="1">
      <c r="U295" s="19"/>
      <c r="V295" s="19"/>
      <c r="W295" s="19"/>
      <c r="X295" s="19"/>
      <c r="Y295" s="19"/>
      <c r="Z295" s="19"/>
      <c r="AA295" s="19"/>
      <c r="AB295" s="19"/>
      <c r="AC295" s="19"/>
      <c r="AD295" s="46"/>
      <c r="AE295" s="46"/>
      <c r="AF295" s="46"/>
      <c r="AG295" s="46"/>
      <c r="AH295" s="46"/>
      <c r="AI295" s="46"/>
      <c r="AJ295" s="46"/>
      <c r="AK295" s="46"/>
      <c r="AL295" s="46"/>
      <c r="AM295" s="46"/>
      <c r="AN295" s="46"/>
      <c r="AO295" s="46"/>
      <c r="AP295" s="46"/>
      <c r="AQ295" s="46"/>
      <c r="AR295" s="46"/>
      <c r="AS295" s="46"/>
      <c r="AT295" s="19"/>
      <c r="AU295" s="19"/>
      <c r="AV295" s="19"/>
      <c r="AW295" s="19"/>
      <c r="AX295" s="19"/>
      <c r="AY295" s="19"/>
      <c r="AZ295" s="19"/>
      <c r="BA295" s="19"/>
      <c r="BB295" s="19"/>
      <c r="BC295" s="19"/>
      <c r="BD295" s="19"/>
      <c r="BE295" s="19"/>
      <c r="BF295" s="19"/>
      <c r="BG295" s="19"/>
      <c r="BH295" s="19"/>
      <c r="BI295" s="19"/>
      <c r="BJ295" s="19"/>
    </row>
    <row r="296" spans="21:62" s="1" customFormat="1" ht="12.75" customHeight="1">
      <c r="U296" s="19"/>
      <c r="V296" s="19"/>
      <c r="W296" s="19"/>
      <c r="X296" s="19"/>
      <c r="Y296" s="19"/>
      <c r="Z296" s="19"/>
      <c r="AA296" s="19"/>
      <c r="AB296" s="19"/>
      <c r="AC296" s="19"/>
      <c r="AD296" s="46"/>
      <c r="AE296" s="46"/>
      <c r="AF296" s="46"/>
      <c r="AG296" s="46"/>
      <c r="AH296" s="46"/>
      <c r="AI296" s="46"/>
      <c r="AJ296" s="46"/>
      <c r="AK296" s="46"/>
      <c r="AL296" s="46"/>
      <c r="AM296" s="46"/>
      <c r="AN296" s="46"/>
      <c r="AO296" s="46"/>
      <c r="AP296" s="46"/>
      <c r="AQ296" s="46"/>
      <c r="AR296" s="46"/>
      <c r="AS296" s="46"/>
      <c r="AT296" s="19"/>
      <c r="AU296" s="19"/>
      <c r="AV296" s="19"/>
      <c r="AW296" s="19"/>
      <c r="AX296" s="19"/>
      <c r="AY296" s="19"/>
      <c r="AZ296" s="19"/>
      <c r="BA296" s="19"/>
      <c r="BB296" s="19"/>
      <c r="BC296" s="19"/>
      <c r="BD296" s="19"/>
      <c r="BE296" s="19"/>
      <c r="BF296" s="19"/>
      <c r="BG296" s="19"/>
      <c r="BH296" s="19"/>
      <c r="BI296" s="19"/>
      <c r="BJ296" s="19"/>
    </row>
    <row r="297" spans="21:62" s="1" customFormat="1" ht="12.75" customHeight="1">
      <c r="U297" s="19"/>
      <c r="V297" s="19"/>
      <c r="W297" s="19"/>
      <c r="X297" s="19"/>
      <c r="Y297" s="19"/>
      <c r="Z297" s="19"/>
      <c r="AA297" s="19"/>
      <c r="AB297" s="19"/>
      <c r="AC297" s="19"/>
      <c r="AD297" s="46"/>
      <c r="AE297" s="46"/>
      <c r="AF297" s="46"/>
      <c r="AG297" s="46"/>
      <c r="AH297" s="46"/>
      <c r="AI297" s="46"/>
      <c r="AJ297" s="46"/>
      <c r="AK297" s="46"/>
      <c r="AL297" s="46"/>
      <c r="AM297" s="46"/>
      <c r="AN297" s="46"/>
      <c r="AO297" s="46"/>
      <c r="AP297" s="46"/>
      <c r="AQ297" s="46"/>
      <c r="AR297" s="46"/>
      <c r="AS297" s="46"/>
      <c r="AT297" s="19"/>
      <c r="AU297" s="19"/>
      <c r="AV297" s="19"/>
      <c r="AW297" s="19"/>
      <c r="AX297" s="19"/>
      <c r="AY297" s="19"/>
      <c r="AZ297" s="19"/>
      <c r="BA297" s="19"/>
      <c r="BB297" s="19"/>
      <c r="BC297" s="19"/>
      <c r="BD297" s="19"/>
      <c r="BE297" s="19"/>
      <c r="BF297" s="19"/>
      <c r="BG297" s="19"/>
      <c r="BH297" s="19"/>
      <c r="BI297" s="19"/>
      <c r="BJ297" s="19"/>
    </row>
    <row r="298" spans="21:62" s="1" customFormat="1" ht="12.75" customHeight="1">
      <c r="U298" s="19"/>
      <c r="V298" s="19"/>
      <c r="W298" s="19"/>
      <c r="X298" s="19"/>
      <c r="Y298" s="19"/>
      <c r="Z298" s="19"/>
      <c r="AA298" s="19"/>
      <c r="AB298" s="19"/>
      <c r="AC298" s="19"/>
      <c r="AD298" s="46"/>
      <c r="AE298" s="46"/>
      <c r="AF298" s="46"/>
      <c r="AG298" s="46"/>
      <c r="AH298" s="46"/>
      <c r="AI298" s="46"/>
      <c r="AJ298" s="46"/>
      <c r="AK298" s="46"/>
      <c r="AL298" s="46"/>
      <c r="AM298" s="46"/>
      <c r="AN298" s="46"/>
      <c r="AO298" s="46"/>
      <c r="AP298" s="46"/>
      <c r="AQ298" s="46"/>
      <c r="AR298" s="46"/>
      <c r="AS298" s="46"/>
      <c r="AT298" s="19"/>
      <c r="AU298" s="19"/>
      <c r="AV298" s="19"/>
      <c r="AW298" s="19"/>
      <c r="AX298" s="19"/>
      <c r="AY298" s="19"/>
      <c r="AZ298" s="19"/>
      <c r="BA298" s="19"/>
      <c r="BB298" s="19"/>
      <c r="BC298" s="19"/>
      <c r="BD298" s="19"/>
      <c r="BE298" s="19"/>
      <c r="BF298" s="19"/>
      <c r="BG298" s="19"/>
      <c r="BH298" s="19"/>
      <c r="BI298" s="19"/>
      <c r="BJ298" s="19"/>
    </row>
    <row r="299" spans="21:62" s="1" customFormat="1" ht="12.75" customHeight="1">
      <c r="U299" s="19"/>
      <c r="V299" s="19"/>
      <c r="W299" s="19"/>
      <c r="X299" s="19"/>
      <c r="Y299" s="19"/>
      <c r="Z299" s="19"/>
      <c r="AA299" s="19"/>
      <c r="AB299" s="19"/>
      <c r="AC299" s="19"/>
      <c r="AD299" s="46"/>
      <c r="AE299" s="46"/>
      <c r="AF299" s="46"/>
      <c r="AG299" s="46"/>
      <c r="AH299" s="46"/>
      <c r="AI299" s="46"/>
      <c r="AJ299" s="46"/>
      <c r="AK299" s="46"/>
      <c r="AL299" s="46"/>
      <c r="AM299" s="46"/>
      <c r="AN299" s="46"/>
      <c r="AO299" s="46"/>
      <c r="AP299" s="46"/>
      <c r="AQ299" s="46"/>
      <c r="AR299" s="46"/>
      <c r="AS299" s="46"/>
      <c r="AT299" s="19"/>
      <c r="AU299" s="19"/>
      <c r="AV299" s="19"/>
      <c r="AW299" s="19"/>
      <c r="AX299" s="19"/>
      <c r="AY299" s="19"/>
      <c r="AZ299" s="19"/>
      <c r="BA299" s="19"/>
      <c r="BB299" s="19"/>
      <c r="BC299" s="19"/>
      <c r="BD299" s="19"/>
      <c r="BE299" s="19"/>
      <c r="BF299" s="19"/>
      <c r="BG299" s="19"/>
      <c r="BH299" s="19"/>
      <c r="BI299" s="19"/>
      <c r="BJ299" s="19"/>
    </row>
    <row r="300" spans="21:62" s="1" customFormat="1" ht="12.75" customHeight="1">
      <c r="U300" s="19"/>
      <c r="V300" s="19"/>
      <c r="W300" s="19"/>
      <c r="X300" s="19"/>
      <c r="Y300" s="19"/>
      <c r="Z300" s="19"/>
      <c r="AA300" s="19"/>
      <c r="AB300" s="19"/>
      <c r="AC300" s="19"/>
      <c r="AD300" s="46"/>
      <c r="AE300" s="46"/>
      <c r="AF300" s="46"/>
      <c r="AG300" s="46"/>
      <c r="AH300" s="46"/>
      <c r="AI300" s="46"/>
      <c r="AJ300" s="46"/>
      <c r="AK300" s="46"/>
      <c r="AL300" s="46"/>
      <c r="AM300" s="46"/>
      <c r="AN300" s="46"/>
      <c r="AO300" s="46"/>
      <c r="AP300" s="46"/>
      <c r="AQ300" s="46"/>
      <c r="AR300" s="46"/>
      <c r="AS300" s="46"/>
      <c r="AT300" s="19"/>
      <c r="AU300" s="19"/>
      <c r="AV300" s="19"/>
      <c r="AW300" s="19"/>
      <c r="AX300" s="19"/>
      <c r="AY300" s="19"/>
      <c r="AZ300" s="19"/>
      <c r="BA300" s="19"/>
      <c r="BB300" s="19"/>
      <c r="BC300" s="19"/>
      <c r="BD300" s="19"/>
      <c r="BE300" s="19"/>
      <c r="BF300" s="19"/>
      <c r="BG300" s="19"/>
      <c r="BH300" s="19"/>
      <c r="BI300" s="19"/>
      <c r="BJ300" s="19"/>
    </row>
    <row r="301" spans="21:62" s="1" customFormat="1" ht="12.75" customHeight="1">
      <c r="U301" s="19"/>
      <c r="V301" s="19"/>
      <c r="W301" s="19"/>
      <c r="X301" s="19"/>
      <c r="Y301" s="19"/>
      <c r="Z301" s="19"/>
      <c r="AA301" s="19"/>
      <c r="AB301" s="19"/>
      <c r="AC301" s="19"/>
      <c r="AD301" s="46"/>
      <c r="AE301" s="46"/>
      <c r="AF301" s="46"/>
      <c r="AG301" s="46"/>
      <c r="AH301" s="46"/>
      <c r="AI301" s="46"/>
      <c r="AJ301" s="46"/>
      <c r="AK301" s="46"/>
      <c r="AL301" s="46"/>
      <c r="AM301" s="46"/>
      <c r="AN301" s="46"/>
      <c r="AO301" s="46"/>
      <c r="AP301" s="46"/>
      <c r="AQ301" s="46"/>
      <c r="AR301" s="46"/>
      <c r="AS301" s="46"/>
      <c r="AT301" s="19"/>
      <c r="AU301" s="19"/>
      <c r="AV301" s="19"/>
      <c r="AW301" s="19"/>
      <c r="AX301" s="19"/>
      <c r="AY301" s="19"/>
      <c r="AZ301" s="19"/>
      <c r="BA301" s="19"/>
      <c r="BB301" s="19"/>
      <c r="BC301" s="19"/>
      <c r="BD301" s="19"/>
      <c r="BE301" s="19"/>
      <c r="BF301" s="19"/>
      <c r="BG301" s="19"/>
      <c r="BH301" s="19"/>
      <c r="BI301" s="19"/>
      <c r="BJ301" s="19"/>
    </row>
    <row r="302" spans="21:62" s="1" customFormat="1" ht="12.75" customHeight="1">
      <c r="U302" s="19"/>
      <c r="V302" s="19"/>
      <c r="W302" s="19"/>
      <c r="X302" s="19"/>
      <c r="Y302" s="19"/>
      <c r="Z302" s="19"/>
      <c r="AA302" s="19"/>
      <c r="AB302" s="19"/>
      <c r="AC302" s="19"/>
      <c r="AD302" s="46"/>
      <c r="AE302" s="46"/>
      <c r="AF302" s="46"/>
      <c r="AG302" s="46"/>
      <c r="AH302" s="46"/>
      <c r="AI302" s="46"/>
      <c r="AJ302" s="46"/>
      <c r="AK302" s="46"/>
      <c r="AL302" s="46"/>
      <c r="AM302" s="46"/>
      <c r="AN302" s="46"/>
      <c r="AO302" s="46"/>
      <c r="AP302" s="46"/>
      <c r="AQ302" s="46"/>
      <c r="AR302" s="46"/>
      <c r="AS302" s="46"/>
      <c r="AT302" s="19"/>
      <c r="AU302" s="19"/>
      <c r="AV302" s="19"/>
      <c r="AW302" s="19"/>
      <c r="AX302" s="19"/>
      <c r="AY302" s="19"/>
      <c r="AZ302" s="19"/>
      <c r="BA302" s="19"/>
      <c r="BB302" s="19"/>
      <c r="BC302" s="19"/>
      <c r="BD302" s="19"/>
      <c r="BE302" s="19"/>
      <c r="BF302" s="19"/>
      <c r="BG302" s="19"/>
      <c r="BH302" s="19"/>
      <c r="BI302" s="19"/>
      <c r="BJ302" s="19"/>
    </row>
    <row r="303" spans="21:62" s="1" customFormat="1" ht="12.75" customHeight="1">
      <c r="U303" s="19"/>
      <c r="V303" s="19"/>
      <c r="W303" s="19"/>
      <c r="X303" s="19"/>
      <c r="Y303" s="19"/>
      <c r="Z303" s="19"/>
      <c r="AA303" s="19"/>
      <c r="AB303" s="19"/>
      <c r="AC303" s="19"/>
      <c r="AD303" s="46"/>
      <c r="AE303" s="46"/>
      <c r="AF303" s="46"/>
      <c r="AG303" s="46"/>
      <c r="AH303" s="46"/>
      <c r="AI303" s="46"/>
      <c r="AJ303" s="46"/>
      <c r="AK303" s="46"/>
      <c r="AL303" s="46"/>
      <c r="AM303" s="46"/>
      <c r="AN303" s="46"/>
      <c r="AO303" s="46"/>
      <c r="AP303" s="46"/>
      <c r="AQ303" s="46"/>
      <c r="AR303" s="46"/>
      <c r="AS303" s="46"/>
      <c r="AT303" s="19"/>
      <c r="AU303" s="19"/>
      <c r="AV303" s="19"/>
      <c r="AW303" s="19"/>
      <c r="AX303" s="19"/>
      <c r="AY303" s="19"/>
      <c r="AZ303" s="19"/>
      <c r="BA303" s="19"/>
      <c r="BB303" s="19"/>
      <c r="BC303" s="19"/>
      <c r="BD303" s="19"/>
      <c r="BE303" s="19"/>
      <c r="BF303" s="19"/>
      <c r="BG303" s="19"/>
      <c r="BH303" s="19"/>
      <c r="BI303" s="19"/>
      <c r="BJ303" s="19"/>
    </row>
    <row r="304" spans="21:62" s="1" customFormat="1" ht="12.75" customHeight="1">
      <c r="U304" s="19"/>
      <c r="V304" s="19"/>
      <c r="W304" s="19"/>
      <c r="X304" s="19"/>
      <c r="Y304" s="19"/>
      <c r="Z304" s="19"/>
      <c r="AA304" s="19"/>
      <c r="AB304" s="19"/>
      <c r="AC304" s="19"/>
      <c r="AD304" s="46"/>
      <c r="AE304" s="46"/>
      <c r="AF304" s="46"/>
      <c r="AG304" s="46"/>
      <c r="AH304" s="46"/>
      <c r="AI304" s="46"/>
      <c r="AJ304" s="46"/>
      <c r="AK304" s="46"/>
      <c r="AL304" s="46"/>
      <c r="AM304" s="46"/>
      <c r="AN304" s="46"/>
      <c r="AO304" s="46"/>
      <c r="AP304" s="46"/>
      <c r="AQ304" s="46"/>
      <c r="AR304" s="46"/>
      <c r="AS304" s="46"/>
      <c r="AT304" s="19"/>
      <c r="AU304" s="19"/>
      <c r="AV304" s="19"/>
      <c r="AW304" s="19"/>
      <c r="AX304" s="19"/>
      <c r="AY304" s="19"/>
      <c r="AZ304" s="19"/>
      <c r="BA304" s="19"/>
      <c r="BB304" s="19"/>
      <c r="BC304" s="19"/>
      <c r="BD304" s="19"/>
      <c r="BE304" s="19"/>
      <c r="BF304" s="19"/>
      <c r="BG304" s="19"/>
      <c r="BH304" s="19"/>
      <c r="BI304" s="19"/>
      <c r="BJ304" s="19"/>
    </row>
    <row r="305" spans="21:62" s="1" customFormat="1" ht="12.75" customHeight="1">
      <c r="U305" s="19"/>
      <c r="V305" s="19"/>
      <c r="W305" s="19"/>
      <c r="X305" s="19"/>
      <c r="Y305" s="19"/>
      <c r="Z305" s="19"/>
      <c r="AA305" s="19"/>
      <c r="AB305" s="19"/>
      <c r="AC305" s="19"/>
      <c r="AD305" s="46"/>
      <c r="AE305" s="46"/>
      <c r="AF305" s="46"/>
      <c r="AG305" s="46"/>
      <c r="AH305" s="46"/>
      <c r="AI305" s="46"/>
      <c r="AJ305" s="46"/>
      <c r="AK305" s="46"/>
      <c r="AL305" s="46"/>
      <c r="AM305" s="46"/>
      <c r="AN305" s="46"/>
      <c r="AO305" s="46"/>
      <c r="AP305" s="46"/>
      <c r="AQ305" s="46"/>
      <c r="AR305" s="46"/>
      <c r="AS305" s="46"/>
      <c r="AT305" s="19"/>
      <c r="AU305" s="19"/>
      <c r="AV305" s="19"/>
      <c r="AW305" s="19"/>
      <c r="AX305" s="19"/>
      <c r="AY305" s="19"/>
      <c r="AZ305" s="19"/>
      <c r="BA305" s="19"/>
      <c r="BB305" s="19"/>
      <c r="BC305" s="19"/>
      <c r="BD305" s="19"/>
      <c r="BE305" s="19"/>
      <c r="BF305" s="19"/>
      <c r="BG305" s="19"/>
      <c r="BH305" s="19"/>
      <c r="BI305" s="19"/>
      <c r="BJ305" s="19"/>
    </row>
    <row r="306" spans="21:62" s="1" customFormat="1" ht="12.75" customHeight="1">
      <c r="U306" s="19"/>
      <c r="V306" s="19"/>
      <c r="W306" s="19"/>
      <c r="X306" s="19"/>
      <c r="Y306" s="19"/>
      <c r="Z306" s="19"/>
      <c r="AA306" s="19"/>
      <c r="AB306" s="19"/>
      <c r="AC306" s="19"/>
      <c r="AD306" s="46"/>
      <c r="AE306" s="46"/>
      <c r="AF306" s="46"/>
      <c r="AG306" s="46"/>
      <c r="AH306" s="46"/>
      <c r="AI306" s="46"/>
      <c r="AJ306" s="46"/>
      <c r="AK306" s="46"/>
      <c r="AL306" s="46"/>
      <c r="AM306" s="46"/>
      <c r="AN306" s="46"/>
      <c r="AO306" s="46"/>
      <c r="AP306" s="46"/>
      <c r="AQ306" s="46"/>
      <c r="AR306" s="46"/>
      <c r="AS306" s="46"/>
      <c r="AT306" s="19"/>
      <c r="AU306" s="19"/>
      <c r="AV306" s="19"/>
      <c r="AW306" s="19"/>
      <c r="AX306" s="19"/>
      <c r="AY306" s="19"/>
      <c r="AZ306" s="19"/>
      <c r="BA306" s="19"/>
      <c r="BB306" s="19"/>
      <c r="BC306" s="19"/>
      <c r="BD306" s="19"/>
      <c r="BE306" s="19"/>
      <c r="BF306" s="19"/>
      <c r="BG306" s="19"/>
      <c r="BH306" s="19"/>
      <c r="BI306" s="19"/>
      <c r="BJ306" s="19"/>
    </row>
    <row r="307" spans="21:62" s="1" customFormat="1" ht="12.75" customHeight="1">
      <c r="U307" s="19"/>
      <c r="V307" s="19"/>
      <c r="W307" s="19"/>
      <c r="X307" s="19"/>
      <c r="Y307" s="19"/>
      <c r="Z307" s="19"/>
      <c r="AA307" s="19"/>
      <c r="AB307" s="19"/>
      <c r="AC307" s="19"/>
      <c r="AD307" s="46"/>
      <c r="AE307" s="46"/>
      <c r="AF307" s="46"/>
      <c r="AG307" s="46"/>
      <c r="AH307" s="46"/>
      <c r="AI307" s="46"/>
      <c r="AJ307" s="46"/>
      <c r="AK307" s="46"/>
      <c r="AL307" s="46"/>
      <c r="AM307" s="46"/>
      <c r="AN307" s="46"/>
      <c r="AO307" s="46"/>
      <c r="AP307" s="46"/>
      <c r="AQ307" s="46"/>
      <c r="AR307" s="46"/>
      <c r="AS307" s="46"/>
      <c r="AT307" s="19"/>
      <c r="AU307" s="19"/>
      <c r="AV307" s="19"/>
      <c r="AW307" s="19"/>
      <c r="AX307" s="19"/>
      <c r="AY307" s="19"/>
      <c r="AZ307" s="19"/>
      <c r="BA307" s="19"/>
      <c r="BB307" s="19"/>
      <c r="BC307" s="19"/>
      <c r="BD307" s="19"/>
      <c r="BE307" s="19"/>
      <c r="BF307" s="19"/>
      <c r="BG307" s="19"/>
      <c r="BH307" s="19"/>
      <c r="BI307" s="19"/>
      <c r="BJ307" s="19"/>
    </row>
    <row r="308" spans="21:62" s="1" customFormat="1" ht="12.75" customHeight="1">
      <c r="U308" s="19"/>
      <c r="V308" s="19"/>
      <c r="W308" s="19"/>
      <c r="X308" s="19"/>
      <c r="Y308" s="19"/>
      <c r="Z308" s="19"/>
      <c r="AA308" s="19"/>
      <c r="AB308" s="19"/>
      <c r="AC308" s="19"/>
      <c r="AD308" s="46"/>
      <c r="AE308" s="46"/>
      <c r="AF308" s="46"/>
      <c r="AG308" s="46"/>
      <c r="AH308" s="46"/>
      <c r="AI308" s="46"/>
      <c r="AJ308" s="46"/>
      <c r="AK308" s="46"/>
      <c r="AL308" s="46"/>
      <c r="AM308" s="46"/>
      <c r="AN308" s="46"/>
      <c r="AO308" s="46"/>
      <c r="AP308" s="46"/>
      <c r="AQ308" s="46"/>
      <c r="AR308" s="46"/>
      <c r="AS308" s="46"/>
      <c r="AT308" s="19"/>
      <c r="AU308" s="19"/>
      <c r="AV308" s="19"/>
      <c r="AW308" s="19"/>
      <c r="AX308" s="19"/>
      <c r="AY308" s="19"/>
      <c r="AZ308" s="19"/>
      <c r="BA308" s="19"/>
      <c r="BB308" s="19"/>
      <c r="BC308" s="19"/>
      <c r="BD308" s="19"/>
      <c r="BE308" s="19"/>
      <c r="BF308" s="19"/>
      <c r="BG308" s="19"/>
      <c r="BH308" s="19"/>
      <c r="BI308" s="19"/>
      <c r="BJ308" s="19"/>
    </row>
    <row r="309" spans="21:62" s="1" customFormat="1" ht="12.75" customHeight="1">
      <c r="U309" s="19"/>
      <c r="V309" s="19"/>
      <c r="W309" s="19"/>
      <c r="X309" s="19"/>
      <c r="Y309" s="19"/>
      <c r="Z309" s="19"/>
      <c r="AA309" s="19"/>
      <c r="AB309" s="19"/>
      <c r="AC309" s="19"/>
      <c r="AD309" s="46"/>
      <c r="AE309" s="46"/>
      <c r="AF309" s="46"/>
      <c r="AG309" s="46"/>
      <c r="AH309" s="46"/>
      <c r="AI309" s="46"/>
      <c r="AJ309" s="46"/>
      <c r="AK309" s="46"/>
      <c r="AL309" s="46"/>
      <c r="AM309" s="46"/>
      <c r="AN309" s="46"/>
      <c r="AO309" s="46"/>
      <c r="AP309" s="46"/>
      <c r="AQ309" s="46"/>
      <c r="AR309" s="46"/>
      <c r="AS309" s="46"/>
      <c r="AT309" s="19"/>
      <c r="AU309" s="19"/>
      <c r="AV309" s="19"/>
      <c r="AW309" s="19"/>
      <c r="AX309" s="19"/>
      <c r="AY309" s="19"/>
      <c r="AZ309" s="19"/>
      <c r="BA309" s="19"/>
      <c r="BB309" s="19"/>
      <c r="BC309" s="19"/>
      <c r="BD309" s="19"/>
      <c r="BE309" s="19"/>
      <c r="BF309" s="19"/>
      <c r="BG309" s="19"/>
      <c r="BH309" s="19"/>
      <c r="BI309" s="19"/>
      <c r="BJ309" s="19"/>
    </row>
    <row r="310" spans="21:62" s="1" customFormat="1" ht="12.75" customHeight="1">
      <c r="U310"/>
      <c r="AD310" s="5"/>
      <c r="AE310" s="5"/>
      <c r="AF310" s="5"/>
      <c r="AG310" s="5"/>
      <c r="AH310" s="5"/>
      <c r="AI310" s="5"/>
      <c r="AJ310" s="5"/>
      <c r="AK310" s="5"/>
      <c r="AL310" s="5"/>
      <c r="AM310" s="5"/>
      <c r="AN310" s="5"/>
      <c r="AO310" s="5"/>
      <c r="AP310" s="5"/>
      <c r="AQ310" s="5"/>
      <c r="AR310" s="5"/>
      <c r="AS310" s="5"/>
    </row>
    <row r="311" spans="21:62" s="1" customFormat="1" ht="12.75" customHeight="1">
      <c r="U311"/>
      <c r="AD311" s="5"/>
      <c r="AE311" s="5"/>
      <c r="AF311" s="5"/>
      <c r="AG311" s="5"/>
      <c r="AH311" s="5"/>
      <c r="AI311" s="5"/>
      <c r="AJ311" s="5"/>
      <c r="AK311" s="5"/>
      <c r="AL311" s="5"/>
      <c r="AM311" s="5"/>
      <c r="AN311" s="5"/>
      <c r="AO311" s="5"/>
      <c r="AP311" s="5"/>
      <c r="AQ311" s="5"/>
      <c r="AR311" s="5"/>
      <c r="AS311" s="5"/>
    </row>
    <row r="312" spans="21:62" s="1" customFormat="1" ht="12.75" customHeight="1">
      <c r="U312"/>
      <c r="AD312" s="5"/>
      <c r="AE312" s="5"/>
      <c r="AF312" s="5"/>
      <c r="AG312" s="5"/>
      <c r="AH312" s="5"/>
      <c r="AI312" s="5"/>
      <c r="AJ312" s="5"/>
      <c r="AK312" s="5"/>
      <c r="AL312" s="5"/>
      <c r="AM312" s="5"/>
      <c r="AN312" s="5"/>
      <c r="AO312" s="5"/>
      <c r="AP312" s="5"/>
      <c r="AQ312" s="5"/>
      <c r="AR312" s="5"/>
      <c r="AS312" s="5"/>
    </row>
    <row r="313" spans="21:62" s="1" customFormat="1" ht="12.75" customHeight="1">
      <c r="U313"/>
      <c r="AD313" s="5"/>
      <c r="AE313" s="5"/>
      <c r="AF313" s="5"/>
      <c r="AG313" s="5"/>
      <c r="AH313" s="5"/>
      <c r="AI313" s="5"/>
      <c r="AJ313" s="5"/>
      <c r="AK313" s="5"/>
      <c r="AL313" s="5"/>
      <c r="AM313" s="5"/>
      <c r="AN313" s="5"/>
      <c r="AO313" s="5"/>
      <c r="AP313" s="5"/>
      <c r="AQ313" s="5"/>
      <c r="AR313" s="5"/>
      <c r="AS313" s="5"/>
    </row>
  </sheetData>
  <sheetProtection autoFilter="0" pivotTables="0"/>
  <protectedRanges>
    <protectedRange sqref="G9" name="Nozzle"/>
    <protectedRange sqref="F18:F19" name="Orifice"/>
    <protectedRange sqref="I18:I19" name="Angle"/>
    <protectedRange sqref="M18" name="Pressure"/>
    <protectedRange sqref="P18:P19" name="Airspeed"/>
  </protectedRanges>
  <customSheetViews>
    <customSheetView guid="{CD17FB03-8870-11D2-8172-00C04FC29620}" fitToPage="1" showRuler="0">
      <selection activeCell="D11" sqref="D11"/>
      <pageMargins left="0.7" right="0.7" top="0.75" bottom="0.75" header="0.3" footer="0.3"/>
      <pageSetup scale="37" orientation="landscape" verticalDpi="300" copies="0"/>
      <headerFooter alignWithMargins="0"/>
    </customSheetView>
  </customSheetViews>
  <mergeCells count="15">
    <mergeCell ref="D36:R36"/>
    <mergeCell ref="C33:S35"/>
    <mergeCell ref="G24:S24"/>
    <mergeCell ref="G3:N4"/>
    <mergeCell ref="C16:D17"/>
    <mergeCell ref="G9:P9"/>
    <mergeCell ref="C8:F9"/>
    <mergeCell ref="G23:S23"/>
    <mergeCell ref="G22:S22"/>
    <mergeCell ref="C14:S14"/>
    <mergeCell ref="C5:F7"/>
    <mergeCell ref="L7:S7"/>
    <mergeCell ref="L6:S6"/>
    <mergeCell ref="G6:K7"/>
    <mergeCell ref="K19:R19"/>
  </mergeCells>
  <phoneticPr fontId="0" type="noConversion"/>
  <dataValidations count="1">
    <dataValidation type="list" allowBlank="1" showInputMessage="1" showErrorMessage="1" sqref="V24" xr:uid="{00000000-0002-0000-0000-000000000000}">
      <formula1>$V$18:$V$25</formula1>
    </dataValidation>
  </dataValidations>
  <printOptions horizontalCentered="1" verticalCentered="1"/>
  <pageMargins left="0.7" right="0.7" top="0.75" bottom="0.75" header="0.3" footer="0.3"/>
  <pageSetup scale="10" orientation="portrait" verticalDpi="300"/>
  <headerFooter alignWithMargins="0"/>
  <drawing r:id="rId1"/>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2000000}">
          <x14:formula1>
            <xm:f>'Model Parameters with Tables'!$P$46:$P$59</xm:f>
          </x14:formula1>
          <xm:sqref>F18:F19</xm:sqref>
        </x14:dataValidation>
        <x14:dataValidation type="list" allowBlank="1" showInputMessage="1" showErrorMessage="1" xr:uid="{00000000-0002-0000-0000-000001000000}">
          <x14:formula1>
            <xm:f>'Model Parameters with Tables'!$E$7:$E$29</xm:f>
          </x14:formula1>
          <xm:sqref>G9:P9</xm:sqref>
        </x14:dataValidation>
        <x14:dataValidation type="list" allowBlank="1" showInputMessage="1" showErrorMessage="1" xr:uid="{C93B63CA-6A25-5944-ABE4-44DA299EEB74}">
          <x14:formula1>
            <xm:f>'Model Parameters with Tables'!$A$57:$A$58</xm:f>
          </x14:formula1>
          <xm:sqref>G6:K7</xm:sqref>
        </x14:dataValidation>
        <x14:dataValidation type="list" allowBlank="1" showInputMessage="1" showErrorMessage="1" xr:uid="{00000000-0002-0000-0000-000003000000}">
          <x14:formula1>
            <xm:f>'Model Parameters with Tables'!$S$46:$S$59</xm:f>
          </x14:formula1>
          <xm:sqref>I18:I19</xm:sqref>
        </x14:dataValidation>
        <x14:dataValidation type="list" allowBlank="1" showInputMessage="1" errorTitle="Pressure out of Range" error="Pressure Value Entered is out of Range, Please Ensure Value Entered is within Range" promptTitle="Pressure Selection" xr:uid="{00000000-0002-0000-0000-000005000000}">
          <x14:formula1>
            <xm:f>'Model Parameters with Tables'!$R$46:$R$58</xm:f>
          </x14:formula1>
          <xm:sqref>M18</xm:sqref>
        </x14:dataValidation>
        <x14:dataValidation type="list" allowBlank="1" showInputMessage="1" errorTitle="Out of Range" error="Airspeed Value Entered is out of Range, Please Ensure Value Entered is within Range" promptTitle="Airspeed Input" xr:uid="{00000000-0002-0000-0000-000004000000}">
          <x14:formula1>
            <xm:f>'Model Parameters with Tables'!$Q$47:$Q$60</xm:f>
          </x14:formula1>
          <xm:sqref>P18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435341-C9C7-6D41-BBAA-BA36F157FB97}">
  <sheetPr>
    <pageSetUpPr autoPageBreaks="0"/>
  </sheetPr>
  <dimension ref="A1:AB585"/>
  <sheetViews>
    <sheetView zoomScaleNormal="100" workbookViewId="0">
      <selection activeCell="A34" sqref="A34"/>
    </sheetView>
  </sheetViews>
  <sheetFormatPr baseColWidth="10" defaultColWidth="8.83203125" defaultRowHeight="13"/>
  <cols>
    <col min="1" max="1" width="39" customWidth="1"/>
    <col min="2" max="2" width="19" customWidth="1"/>
    <col min="3" max="3" width="12.33203125" customWidth="1"/>
    <col min="4" max="4" width="11.33203125" customWidth="1"/>
    <col min="5" max="5" width="11" customWidth="1"/>
    <col min="6" max="6" width="12" customWidth="1"/>
    <col min="7" max="8" width="11.5" customWidth="1"/>
    <col min="9" max="9" width="11.33203125" customWidth="1"/>
    <col min="10" max="10" width="10.6640625" customWidth="1"/>
    <col min="11" max="11" width="11.6640625" customWidth="1"/>
    <col min="12" max="12" width="31" bestFit="1" customWidth="1"/>
    <col min="13" max="16" width="11.6640625" customWidth="1"/>
    <col min="17" max="17" width="12" customWidth="1"/>
    <col min="18" max="18" width="11.5" customWidth="1"/>
    <col min="19" max="19" width="16" bestFit="1" customWidth="1"/>
    <col min="20" max="20" width="9.83203125" customWidth="1"/>
  </cols>
  <sheetData>
    <row r="1" spans="1:8">
      <c r="A1" s="86" t="s">
        <v>175</v>
      </c>
      <c r="B1" s="86" t="s">
        <v>20</v>
      </c>
    </row>
    <row r="2" spans="1:8" ht="14">
      <c r="A2" s="86" t="s">
        <v>81</v>
      </c>
      <c r="B2" s="86" t="s">
        <v>49</v>
      </c>
    </row>
    <row r="3" spans="1:8">
      <c r="A3" s="86" t="s">
        <v>84</v>
      </c>
      <c r="B3" s="86" t="s">
        <v>49</v>
      </c>
    </row>
    <row r="4" spans="1:8">
      <c r="A4" s="86" t="s">
        <v>82</v>
      </c>
      <c r="B4" s="86" t="s">
        <v>49</v>
      </c>
    </row>
    <row r="5" spans="1:8" ht="14" thickBot="1">
      <c r="A5" s="86" t="s">
        <v>226</v>
      </c>
      <c r="B5" s="86" t="s">
        <v>49</v>
      </c>
    </row>
    <row r="6" spans="1:8">
      <c r="A6" s="86" t="s">
        <v>85</v>
      </c>
      <c r="B6" s="86" t="s">
        <v>49</v>
      </c>
      <c r="E6" s="163" t="s">
        <v>176</v>
      </c>
      <c r="F6" s="10"/>
      <c r="G6" s="10"/>
      <c r="H6" s="11"/>
    </row>
    <row r="7" spans="1:8">
      <c r="A7" s="86" t="s">
        <v>94</v>
      </c>
      <c r="B7" s="86" t="s">
        <v>49</v>
      </c>
      <c r="E7" s="31" t="str">
        <f t="shared" ref="E7:E29" si="0">IF(IF(SelectedSpeed="High", A2,A28)&gt;0,IF(SelectedSpeed="High", A2,A28),"")</f>
        <v>CP11TT 20° Flat Fan</v>
      </c>
      <c r="H7" s="12"/>
    </row>
    <row r="8" spans="1:8" ht="14">
      <c r="A8" s="86" t="s">
        <v>86</v>
      </c>
      <c r="B8" s="86" t="s">
        <v>49</v>
      </c>
      <c r="E8" s="31" t="str">
        <f t="shared" si="0"/>
        <v>CP11TT 40° Flat Fan</v>
      </c>
      <c r="H8" s="12"/>
    </row>
    <row r="9" spans="1:8" ht="14">
      <c r="A9" s="86" t="s">
        <v>87</v>
      </c>
      <c r="B9" s="86" t="s">
        <v>49</v>
      </c>
      <c r="E9" s="31" t="str">
        <f t="shared" si="0"/>
        <v>CP11TT 80° Flat Fan</v>
      </c>
      <c r="H9" s="12"/>
    </row>
    <row r="10" spans="1:8">
      <c r="A10" s="86" t="s">
        <v>227</v>
      </c>
      <c r="B10" s="86" t="s">
        <v>49</v>
      </c>
      <c r="E10" s="31" t="str">
        <f t="shared" si="0"/>
        <v>CP-03</v>
      </c>
      <c r="H10" s="12"/>
    </row>
    <row r="11" spans="1:8">
      <c r="A11" s="86" t="s">
        <v>90</v>
      </c>
      <c r="B11" s="86" t="s">
        <v>49</v>
      </c>
      <c r="E11" s="31" t="str">
        <f t="shared" si="0"/>
        <v>Steel Disc Core 45</v>
      </c>
      <c r="H11" s="12"/>
    </row>
    <row r="12" spans="1:8">
      <c r="A12" s="86" t="s">
        <v>169</v>
      </c>
      <c r="B12" s="86" t="s">
        <v>49</v>
      </c>
      <c r="E12" s="31" t="str">
        <f t="shared" si="0"/>
        <v>Ceramic Disc Core 45</v>
      </c>
      <c r="H12" s="12"/>
    </row>
    <row r="13" spans="1:8">
      <c r="A13" s="86" t="s">
        <v>139</v>
      </c>
      <c r="B13" s="86" t="s">
        <v>49</v>
      </c>
      <c r="E13" s="31" t="str">
        <f t="shared" si="0"/>
        <v>Standard 40° Flat Fan</v>
      </c>
      <c r="H13" s="12"/>
    </row>
    <row r="14" spans="1:8" ht="14">
      <c r="A14" s="86" t="s">
        <v>132</v>
      </c>
      <c r="B14" s="86" t="s">
        <v>49</v>
      </c>
      <c r="E14" s="31" t="str">
        <f t="shared" si="0"/>
        <v>Standard 80° Flat Fan</v>
      </c>
      <c r="H14" s="12"/>
    </row>
    <row r="15" spans="1:8">
      <c r="A15" s="86" t="s">
        <v>134</v>
      </c>
      <c r="B15" s="86" t="s">
        <v>49</v>
      </c>
      <c r="E15" s="31" t="str">
        <f t="shared" si="0"/>
        <v>CP-09 Deflection Only</v>
      </c>
      <c r="H15" s="12"/>
    </row>
    <row r="16" spans="1:8">
      <c r="A16" s="86" t="s">
        <v>135</v>
      </c>
      <c r="B16" s="86" t="s">
        <v>49</v>
      </c>
      <c r="E16" s="31" t="str">
        <f t="shared" si="0"/>
        <v>CP11TT Straight Stream</v>
      </c>
      <c r="H16" s="12"/>
    </row>
    <row r="17" spans="1:8">
      <c r="A17" s="86" t="s">
        <v>215</v>
      </c>
      <c r="B17" s="86" t="s">
        <v>49</v>
      </c>
      <c r="E17" s="31" t="str">
        <f t="shared" si="0"/>
        <v>Steel Disc Core Straight Stream</v>
      </c>
      <c r="H17" s="12"/>
    </row>
    <row r="18" spans="1:8">
      <c r="A18" s="86" t="s">
        <v>214</v>
      </c>
      <c r="B18" s="86" t="s">
        <v>49</v>
      </c>
      <c r="E18" s="31" t="str">
        <f t="shared" si="0"/>
        <v>TriSet Deflection Only</v>
      </c>
      <c r="H18" s="12"/>
    </row>
    <row r="19" spans="1:8">
      <c r="A19" s="86" t="s">
        <v>218</v>
      </c>
      <c r="B19" s="86" t="s">
        <v>49</v>
      </c>
      <c r="E19" s="31" t="str">
        <f t="shared" si="0"/>
        <v>CP11TT 60° Flat Fan</v>
      </c>
      <c r="H19" s="12"/>
    </row>
    <row r="20" spans="1:8">
      <c r="A20" s="86" t="s">
        <v>220</v>
      </c>
      <c r="B20" s="86" t="s">
        <v>49</v>
      </c>
      <c r="E20" s="31" t="str">
        <f t="shared" si="0"/>
        <v>TeeJet SS</v>
      </c>
      <c r="H20" s="12"/>
    </row>
    <row r="21" spans="1:8">
      <c r="A21" s="86" t="s">
        <v>223</v>
      </c>
      <c r="B21" s="86" t="s">
        <v>49</v>
      </c>
      <c r="E21" s="31" t="str">
        <f t="shared" si="0"/>
        <v>TeeJet H1 4U</v>
      </c>
      <c r="H21" s="12"/>
    </row>
    <row r="22" spans="1:8">
      <c r="A22" s="86" t="s">
        <v>221</v>
      </c>
      <c r="B22" s="86" t="s">
        <v>49</v>
      </c>
      <c r="E22" s="31" t="str">
        <f t="shared" si="0"/>
        <v>CAS LF-5 Straight Stream</v>
      </c>
      <c r="H22" s="12"/>
    </row>
    <row r="23" spans="1:8">
      <c r="A23" s="86" t="s">
        <v>222</v>
      </c>
      <c r="B23" s="86" t="s">
        <v>49</v>
      </c>
      <c r="E23" s="31" t="str">
        <f t="shared" si="0"/>
        <v>CAS LF-5 Deflection Only</v>
      </c>
      <c r="H23" s="12"/>
    </row>
    <row r="24" spans="1:8">
      <c r="A24" s="86" t="s">
        <v>224</v>
      </c>
      <c r="B24" s="86" t="s">
        <v>49</v>
      </c>
      <c r="E24" s="31" t="str">
        <f t="shared" si="0"/>
        <v>AFS Straight Stream</v>
      </c>
      <c r="H24" s="12"/>
    </row>
    <row r="25" spans="1:8">
      <c r="A25" s="87"/>
      <c r="B25" s="87"/>
      <c r="E25" s="31" t="str">
        <f t="shared" si="0"/>
        <v>TriSet Straight Stream</v>
      </c>
      <c r="H25" s="12"/>
    </row>
    <row r="26" spans="1:8">
      <c r="A26" s="87"/>
      <c r="B26" s="87"/>
      <c r="E26" s="31" t="str">
        <f t="shared" si="0"/>
        <v>CP-09 Straight Stream</v>
      </c>
      <c r="H26" s="12"/>
    </row>
    <row r="27" spans="1:8">
      <c r="A27" s="172" t="s">
        <v>174</v>
      </c>
      <c r="B27" s="172" t="s">
        <v>20</v>
      </c>
      <c r="E27" s="31" t="str">
        <f t="shared" si="0"/>
        <v>CP-01-03</v>
      </c>
      <c r="H27" s="12"/>
    </row>
    <row r="28" spans="1:8">
      <c r="A28" s="86" t="s">
        <v>105</v>
      </c>
      <c r="B28" s="86" t="s">
        <v>199</v>
      </c>
      <c r="E28" s="31" t="str">
        <f t="shared" si="0"/>
        <v>CP-07-3E Deflection Only</v>
      </c>
      <c r="H28" s="12"/>
    </row>
    <row r="29" spans="1:8" ht="14" thickBot="1">
      <c r="A29" s="86" t="s">
        <v>84</v>
      </c>
      <c r="B29" s="86" t="s">
        <v>199</v>
      </c>
      <c r="E29" s="31" t="str">
        <f t="shared" si="0"/>
        <v>CP-07-3E Straight Stream</v>
      </c>
      <c r="F29" s="13"/>
      <c r="G29" s="13"/>
      <c r="H29" s="14"/>
    </row>
    <row r="30" spans="1:8">
      <c r="A30" s="86" t="s">
        <v>82</v>
      </c>
      <c r="B30" s="86" t="s">
        <v>199</v>
      </c>
    </row>
    <row r="31" spans="1:8">
      <c r="A31" s="86" t="s">
        <v>90</v>
      </c>
      <c r="B31" s="86" t="s">
        <v>200</v>
      </c>
    </row>
    <row r="32" spans="1:8">
      <c r="A32" s="86" t="s">
        <v>123</v>
      </c>
      <c r="B32" s="86" t="s">
        <v>199</v>
      </c>
    </row>
    <row r="33" spans="1:23" ht="14">
      <c r="A33" s="86" t="s">
        <v>124</v>
      </c>
      <c r="B33" s="86" t="s">
        <v>199</v>
      </c>
      <c r="D33" s="221" t="s">
        <v>21</v>
      </c>
      <c r="E33" s="221"/>
      <c r="F33" s="221"/>
      <c r="G33" s="221"/>
      <c r="H33" s="221"/>
      <c r="I33" s="221"/>
      <c r="J33" s="221"/>
      <c r="K33" s="221"/>
      <c r="L33" s="221"/>
      <c r="M33" s="221"/>
      <c r="N33" s="221"/>
      <c r="O33" s="221"/>
      <c r="P33" s="221"/>
      <c r="Q33" s="221"/>
      <c r="R33" s="221"/>
    </row>
    <row r="34" spans="1:23" ht="14" thickBot="1">
      <c r="A34" s="86" t="s">
        <v>169</v>
      </c>
      <c r="B34" s="86" t="s">
        <v>200</v>
      </c>
      <c r="D34" s="222" t="s">
        <v>24</v>
      </c>
      <c r="E34" s="222"/>
      <c r="F34" s="222"/>
      <c r="G34" s="222"/>
      <c r="H34" s="222"/>
      <c r="I34" s="222"/>
      <c r="J34" s="222"/>
      <c r="K34" s="222"/>
      <c r="L34" s="222"/>
      <c r="M34" s="222"/>
      <c r="N34" s="222"/>
      <c r="O34" s="222"/>
      <c r="P34" s="222"/>
      <c r="Q34" s="222"/>
      <c r="R34" s="222"/>
    </row>
    <row r="35" spans="1:23" ht="14" thickBot="1">
      <c r="A35" s="86" t="s">
        <v>170</v>
      </c>
      <c r="B35" s="86" t="s">
        <v>200</v>
      </c>
      <c r="D35" s="30"/>
      <c r="E35" s="10">
        <v>2</v>
      </c>
      <c r="F35" s="10">
        <v>3</v>
      </c>
      <c r="G35" s="10">
        <v>4</v>
      </c>
      <c r="H35" s="10">
        <v>5</v>
      </c>
      <c r="I35" s="10">
        <v>6</v>
      </c>
      <c r="J35" s="10">
        <v>7</v>
      </c>
      <c r="K35" s="10">
        <v>8</v>
      </c>
      <c r="L35" s="10">
        <v>9</v>
      </c>
      <c r="M35" s="10">
        <v>10</v>
      </c>
      <c r="N35" s="10">
        <v>11</v>
      </c>
      <c r="O35" s="10">
        <v>12</v>
      </c>
      <c r="P35" s="10">
        <v>13</v>
      </c>
      <c r="Q35" s="10">
        <v>14</v>
      </c>
      <c r="R35" s="10">
        <v>15</v>
      </c>
      <c r="S35" s="11">
        <v>16</v>
      </c>
    </row>
    <row r="36" spans="1:23" ht="14" thickBot="1">
      <c r="A36" s="86" t="s">
        <v>227</v>
      </c>
      <c r="B36" s="86" t="s">
        <v>199</v>
      </c>
      <c r="D36" s="33"/>
      <c r="E36" s="89" t="s">
        <v>50</v>
      </c>
      <c r="F36" s="35" t="s">
        <v>26</v>
      </c>
      <c r="G36" s="35" t="s">
        <v>28</v>
      </c>
      <c r="H36" s="35" t="s">
        <v>34</v>
      </c>
      <c r="I36" s="35" t="s">
        <v>27</v>
      </c>
      <c r="J36" s="35" t="s">
        <v>52</v>
      </c>
      <c r="K36" s="35" t="s">
        <v>51</v>
      </c>
      <c r="L36" s="35" t="s">
        <v>53</v>
      </c>
      <c r="M36" s="35" t="s">
        <v>54</v>
      </c>
      <c r="N36" s="35" t="s">
        <v>55</v>
      </c>
      <c r="O36" s="35" t="s">
        <v>56</v>
      </c>
      <c r="P36" s="35" t="s">
        <v>57</v>
      </c>
      <c r="Q36" s="35" t="s">
        <v>58</v>
      </c>
      <c r="R36" s="35" t="s">
        <v>59</v>
      </c>
      <c r="S36" s="36" t="s">
        <v>60</v>
      </c>
    </row>
    <row r="37" spans="1:23">
      <c r="A37" s="86" t="s">
        <v>139</v>
      </c>
      <c r="B37" s="86" t="s">
        <v>199</v>
      </c>
      <c r="D37" s="31" t="s">
        <v>22</v>
      </c>
      <c r="E37" cm="1">
        <f t="array" ref="E37:S37">_xlfn.XLOOKUP(SelectedNozzle,IF(SelectedSpeed="High",DV01Table_high[Nozzle],DV01Table_low[Nozzle]),IF(SelectedSpeed="High",DV01Table_high[[Intercept]:[Ang^2]], DV01Table_low[[Intercept]:[Ang^2]]))</f>
        <v>87.494915254000006</v>
      </c>
      <c r="F37" s="10">
        <v>14.505555555999999</v>
      </c>
      <c r="G37" s="10">
        <v>-28.455555560000001</v>
      </c>
      <c r="H37" s="10">
        <v>6.2888888888999999</v>
      </c>
      <c r="I37" s="92">
        <v>-49.25</v>
      </c>
      <c r="J37">
        <v>-6.1124999999999998</v>
      </c>
      <c r="K37">
        <v>3.3125</v>
      </c>
      <c r="L37">
        <v>1.9125000000000001</v>
      </c>
      <c r="M37">
        <v>-4.55</v>
      </c>
      <c r="N37">
        <v>14.6</v>
      </c>
      <c r="O37" s="90">
        <v>-6.125</v>
      </c>
      <c r="P37" s="10">
        <v>-4.8274011300000002</v>
      </c>
      <c r="Q37" s="10">
        <v>4.8225988701000002</v>
      </c>
      <c r="R37" s="10">
        <v>0.92259887009999997</v>
      </c>
      <c r="S37" s="10">
        <v>15.67259887</v>
      </c>
    </row>
    <row r="38" spans="1:23">
      <c r="A38" s="86" t="s">
        <v>226</v>
      </c>
      <c r="B38" s="86" t="s">
        <v>199</v>
      </c>
      <c r="D38" s="31" t="s">
        <v>23</v>
      </c>
      <c r="E38" cm="1">
        <f t="array" ref="E38:S38">_xlfn.XLOOKUP(SelectedNozzle,IF(SelectedSpeed="High",DV05Table_high[Nozzle],DV05Table_low[Nozzle]),IF(SelectedSpeed="High",DV05Table_high[[Intercept]:[Ang^2]], DV05Table_low[[Intercept]:[Ang^2]]))</f>
        <v>217.38305084999999</v>
      </c>
      <c r="F38">
        <v>34.122222221999998</v>
      </c>
      <c r="G38">
        <v>-62.211111109999997</v>
      </c>
      <c r="H38">
        <v>12.2</v>
      </c>
      <c r="I38" s="93">
        <v>-104.9611111</v>
      </c>
      <c r="J38">
        <v>-16.7</v>
      </c>
      <c r="K38">
        <v>8.9875000000000007</v>
      </c>
      <c r="L38">
        <v>1.5375000000000001</v>
      </c>
      <c r="M38">
        <v>-17.7</v>
      </c>
      <c r="N38">
        <v>35.774999999999999</v>
      </c>
      <c r="O38" s="91">
        <v>-20.737500000000001</v>
      </c>
      <c r="P38">
        <v>-6.3468926550000004</v>
      </c>
      <c r="Q38">
        <v>13.253107345</v>
      </c>
      <c r="R38">
        <v>1.2531073446000001</v>
      </c>
      <c r="S38">
        <v>28.403107344999999</v>
      </c>
    </row>
    <row r="39" spans="1:23">
      <c r="A39" s="86" t="s">
        <v>85</v>
      </c>
      <c r="B39" s="86" t="s">
        <v>199</v>
      </c>
      <c r="D39" s="31" t="s">
        <v>25</v>
      </c>
      <c r="E39" cm="1">
        <f t="array" ref="E39:S39">_xlfn.XLOOKUP(SelectedNozzle,IF(SelectedSpeed="High",DV09Table_high[Nozzle],DV09Table_low[Nozzle]),IF(SelectedSpeed="High",DV09Table_high[[Intercept]:[Ang^2]], DV09Table_low[[Intercept]:[Ang^2]]))</f>
        <v>382.35593219999998</v>
      </c>
      <c r="F39">
        <v>85.55</v>
      </c>
      <c r="G39">
        <v>-115.93888889999999</v>
      </c>
      <c r="H39">
        <v>26</v>
      </c>
      <c r="I39" s="93">
        <v>-213.82777780000001</v>
      </c>
      <c r="J39">
        <v>-28.037500000000001</v>
      </c>
      <c r="K39">
        <v>15.425000000000001</v>
      </c>
      <c r="L39">
        <v>0.5</v>
      </c>
      <c r="M39">
        <v>-52.487499999999997</v>
      </c>
      <c r="N39">
        <v>67.037499999999994</v>
      </c>
      <c r="O39" s="91">
        <v>-43.6</v>
      </c>
      <c r="P39">
        <v>-6.3652542370000003</v>
      </c>
      <c r="Q39">
        <v>27.834745763000001</v>
      </c>
      <c r="R39">
        <v>5.1847457627000004</v>
      </c>
      <c r="S39">
        <v>63.434745763000002</v>
      </c>
    </row>
    <row r="40" spans="1:23">
      <c r="A40" s="87" t="s">
        <v>94</v>
      </c>
      <c r="B40" s="86" t="s">
        <v>199</v>
      </c>
      <c r="D40" s="31" t="s">
        <v>7</v>
      </c>
      <c r="E40" cm="1">
        <f t="array" ref="E40:S40">_xlfn.XLOOKUP(SelectedNozzle,IF(SelectedSpeed="High",Less100Table_high[Nozzle],Less100Table_low[Nozzle]),IF(SelectedSpeed="High",Less100Table_high[[Intercept]:[Ang^2]], Less100Table_low[[Intercept]:[Ang^2]]))</f>
        <v>12.829813559</v>
      </c>
      <c r="F40">
        <v>-3.4458888889999999</v>
      </c>
      <c r="G40">
        <v>6.0168888888999996</v>
      </c>
      <c r="H40">
        <v>0.49877777779999999</v>
      </c>
      <c r="I40" s="93">
        <v>11.765166667000001</v>
      </c>
      <c r="J40">
        <v>-0.58956249999999999</v>
      </c>
      <c r="K40">
        <v>-0.51981250000000001</v>
      </c>
      <c r="L40">
        <v>3.2437500000000001E-2</v>
      </c>
      <c r="M40">
        <v>-2.4668125000000001</v>
      </c>
      <c r="N40">
        <v>2.8744375</v>
      </c>
      <c r="O40" s="91">
        <v>1.8526875</v>
      </c>
      <c r="P40">
        <v>1.8307175141000001</v>
      </c>
      <c r="Q40">
        <v>9.0717514099999993E-2</v>
      </c>
      <c r="R40">
        <v>-0.31928248599999998</v>
      </c>
      <c r="S40">
        <v>2.9382175141000002</v>
      </c>
    </row>
    <row r="41" spans="1:23">
      <c r="A41" s="86" t="s">
        <v>223</v>
      </c>
      <c r="B41" s="86" t="s">
        <v>200</v>
      </c>
      <c r="D41" s="31" t="s">
        <v>95</v>
      </c>
      <c r="E41" cm="1">
        <f t="array" ref="E41:S41">_xlfn.XLOOKUP(SelectedNozzle,IF(SelectedSpeed="High",Less200Table_high[Nozzle],Less200Table_low[Nozzle]),IF(SelectedSpeed="High",Less200Table_high[[Intercept]:[Ang^2]], Less200Table_low[[Intercept]:[Ang^2]]))</f>
        <v>44.247457627000003</v>
      </c>
      <c r="F41">
        <v>-6.6833333330000002</v>
      </c>
      <c r="G41">
        <v>12.772222222</v>
      </c>
      <c r="H41">
        <v>-0.66111111099999997</v>
      </c>
      <c r="I41" s="93">
        <v>26.166666667000001</v>
      </c>
      <c r="J41">
        <v>0.35</v>
      </c>
      <c r="K41">
        <v>-0.1</v>
      </c>
      <c r="L41">
        <v>-2.2625000000000002</v>
      </c>
      <c r="M41">
        <v>-2.1</v>
      </c>
      <c r="N41">
        <v>1.0375000000000001</v>
      </c>
      <c r="O41" s="91">
        <v>3.8624999999999998</v>
      </c>
      <c r="P41">
        <v>2.8612994349999998</v>
      </c>
      <c r="Q41">
        <v>-0.43870056499999999</v>
      </c>
      <c r="R41">
        <v>-1.0387005650000001</v>
      </c>
      <c r="S41">
        <v>3.0112994350000002</v>
      </c>
    </row>
    <row r="42" spans="1:23" ht="14" thickBot="1">
      <c r="A42" s="86" t="s">
        <v>220</v>
      </c>
      <c r="B42" s="86" t="s">
        <v>200</v>
      </c>
      <c r="D42" s="32"/>
      <c r="E42" s="13"/>
      <c r="F42" s="13"/>
      <c r="G42" s="13"/>
      <c r="H42" s="13"/>
      <c r="I42" s="13"/>
      <c r="J42" s="13"/>
      <c r="K42" s="13"/>
      <c r="L42" s="13"/>
      <c r="M42" s="13"/>
      <c r="N42" s="13"/>
      <c r="O42" s="13"/>
      <c r="P42" s="13"/>
      <c r="Q42" s="13"/>
      <c r="R42" s="13"/>
      <c r="S42" s="14"/>
    </row>
    <row r="43" spans="1:23">
      <c r="A43" s="86" t="s">
        <v>171</v>
      </c>
      <c r="B43" s="86" t="s">
        <v>199</v>
      </c>
    </row>
    <row r="44" spans="1:23" ht="15">
      <c r="A44" s="86" t="s">
        <v>221</v>
      </c>
      <c r="B44" s="86" t="s">
        <v>200</v>
      </c>
      <c r="I44" s="40" t="s">
        <v>12</v>
      </c>
      <c r="J44" s="42">
        <f>E37+$F$46*F37+$F$47*G37+$F$48*H37+$F$49*I37+$F$46*$F$47*J37+$F$46*$F$48*K37+$F$47*$F$48*L37+$F$46*$F$49*M37+$F$47*$F$49*N37+$F$48*$F$49*O37+$F$46*$F$46*P37+$F$47*$F$47*Q37+$F$48*$F$48*R37+$F$49*$F$49*S37</f>
        <v>133.84346359143333</v>
      </c>
      <c r="K44">
        <f>IF(J44&lt;0,0,J44)</f>
        <v>133.84346359143333</v>
      </c>
      <c r="O44" s="7" t="s">
        <v>33</v>
      </c>
    </row>
    <row r="45" spans="1:23" ht="15">
      <c r="A45" s="87" t="s">
        <v>231</v>
      </c>
      <c r="B45" s="86" t="s">
        <v>200</v>
      </c>
      <c r="E45" s="7" t="s">
        <v>75</v>
      </c>
      <c r="F45" s="7" t="s">
        <v>76</v>
      </c>
      <c r="I45" s="40" t="s">
        <v>14</v>
      </c>
      <c r="J45" s="42">
        <f t="shared" ref="J45:J46" si="1">E38+$F$46*F38+$F$47*G38+$F$48*H38+$F$49*I38+$F$46*$F$47*J38+$F$46*$F$48*K38+$F$47*$F$48*L38+$F$46*$F$49*M38+$F$47*$F$49*N38+$F$48*$F$49*O38+$F$46*$F$46*P38+$F$47*$F$47*Q38+$F$48*$F$48*R38+$F$49*$F$49*S38</f>
        <v>298.96169961537782</v>
      </c>
      <c r="K45">
        <f>IF(J45&lt;0,0,J45)</f>
        <v>298.96169961537782</v>
      </c>
      <c r="O45">
        <v>2</v>
      </c>
      <c r="P45" s="7" t="s">
        <v>26</v>
      </c>
      <c r="Q45" s="7" t="s">
        <v>28</v>
      </c>
      <c r="R45" s="7" t="s">
        <v>34</v>
      </c>
      <c r="S45" s="7" t="s">
        <v>27</v>
      </c>
      <c r="T45" s="7" t="s">
        <v>201</v>
      </c>
      <c r="U45" s="7" t="s">
        <v>202</v>
      </c>
      <c r="V45" s="7" t="s">
        <v>239</v>
      </c>
      <c r="W45" s="7" t="s">
        <v>240</v>
      </c>
    </row>
    <row r="46" spans="1:23" ht="15">
      <c r="A46" s="87" t="s">
        <v>232</v>
      </c>
      <c r="B46" s="86" t="s">
        <v>200</v>
      </c>
      <c r="D46" t="s">
        <v>45</v>
      </c>
      <c r="E46" s="7">
        <f>SelectedOrifice</f>
        <v>4</v>
      </c>
      <c r="F46">
        <f>(E46-E52)/F52</f>
        <v>-1</v>
      </c>
      <c r="I46" s="40" t="s">
        <v>15</v>
      </c>
      <c r="J46" s="42">
        <f t="shared" si="1"/>
        <v>521.13115978458882</v>
      </c>
      <c r="O46">
        <v>3</v>
      </c>
      <c r="P46">
        <f>IF(U46&gt;0,U46,"")</f>
        <v>4</v>
      </c>
      <c r="Q46">
        <f>IF(W46&gt;0,W46,"")</f>
        <v>120</v>
      </c>
      <c r="R46">
        <f>IF(V46&gt;0,V46,"")</f>
        <v>30</v>
      </c>
      <c r="S46">
        <f>T46</f>
        <v>0</v>
      </c>
      <c r="T46" cm="1">
        <f t="array" ref="T46">_xlfn.XLOOKUP(SelectedNozzle,IF(SelectedSpeed="High",AngTable_high[Nozzle],AngTable_low[Nozzle]),IF(SelectedSpeed="High",AngTable_high[v1], AngTable_low[v1]))</f>
        <v>0</v>
      </c>
      <c r="U46">
        <f>_xlfn.XLOOKUP(SelectedNozzle,OrfTable[Nozzle],OrfTable[v1])</f>
        <v>4</v>
      </c>
      <c r="V46" cm="1">
        <f t="array" ref="V46">_xlfn.XLOOKUP(SelectedNozzle,IF(SelectedSpeed="High",PressTable_high[Nozzle],PressTable_low[Nozzle]),IF(SelectedSpeed="High",PressTable_high[v1], PressTable_low[v1]))</f>
        <v>30</v>
      </c>
      <c r="W46" cm="1">
        <f t="array" ref="W46">_xlfn.XLOOKUP(SelectedNozzle,IF(SelectedSpeed="High",ASTable_high[Nozzle],ASTable_low[Nozzle]),IF(SelectedSpeed="High",ASTable_high[v1], ASTable_low[v1]))</f>
        <v>120</v>
      </c>
    </row>
    <row r="47" spans="1:23">
      <c r="D47" t="s">
        <v>48</v>
      </c>
      <c r="E47">
        <f>'Atomization Model'!P18</f>
        <v>140</v>
      </c>
      <c r="F47">
        <f>(E47-E53)/F53</f>
        <v>-0.33333333333333331</v>
      </c>
      <c r="I47" s="41"/>
      <c r="J47" s="42"/>
      <c r="O47">
        <v>4</v>
      </c>
      <c r="P47">
        <f t="shared" ref="P47:P58" si="2">IF(U47&gt;0,U47,"")</f>
        <v>6</v>
      </c>
      <c r="Q47">
        <f t="shared" ref="Q47:Q60" si="3">IF(W47&gt;0,W47,"")</f>
        <v>125</v>
      </c>
      <c r="R47">
        <f t="shared" ref="R47:R58" si="4">IF(V47&gt;0,V47,"")</f>
        <v>35</v>
      </c>
      <c r="S47">
        <f>IF(T47&gt;0,T47,"")</f>
        <v>15</v>
      </c>
      <c r="T47" cm="1">
        <f t="array" ref="T47">_xlfn.XLOOKUP(SelectedNozzle,IF(SelectedSpeed="High",AngTable_high[Nozzle],AngTable_low[Nozzle]),IF(SelectedSpeed="High",AngTable_high[v2], AngTable_low[v2]))</f>
        <v>15</v>
      </c>
      <c r="U47">
        <f>(_xlfn.XLOOKUP(SelectedNozzle,OrfTable[Nozzle],OrfTable[v2]))</f>
        <v>6</v>
      </c>
      <c r="V47" cm="1">
        <f t="array" ref="V47">_xlfn.XLOOKUP(SelectedNozzle,IF(SelectedSpeed="High",PressTable_high[Nozzle],PressTable_low[Nozzle]),IF(SelectedSpeed="High",PressTable_high[v2], PressTable_low[v2]))</f>
        <v>35</v>
      </c>
      <c r="W47" cm="1">
        <f t="array" ref="W47">_xlfn.XLOOKUP(SelectedNozzle,IF(SelectedSpeed="High",ASTable_high[Nozzle],ASTable_low[Nozzle]),IF(SelectedSpeed="High",ASTable_high[v2], ASTable_low[v2]))</f>
        <v>125</v>
      </c>
    </row>
    <row r="48" spans="1:23">
      <c r="D48" t="s">
        <v>47</v>
      </c>
      <c r="E48">
        <f>'Atomization Model'!M18</f>
        <v>30</v>
      </c>
      <c r="F48">
        <f>(E48-E54)/F54</f>
        <v>-1</v>
      </c>
      <c r="I48" s="41" t="s">
        <v>8</v>
      </c>
      <c r="J48" s="42">
        <f>E40+$F$46*F40+$F$47*G40+$F$48*H40+$F$49*I40+$F$46*$F$47*J40+$F$46*$F$48*K40+$F$47*$F$48*L40+$F$46*$F$49*M40+$F$47*$F$49*N40+$F$48*$F$49*O40+$F$46*$F$46*P40+$F$47*$F$47*Q40+$F$48*$F$48*R40+$F$49*$F$49*S40</f>
        <v>6.104360639555555</v>
      </c>
      <c r="K48">
        <f>IF(J48&lt;0,0.01,J48)</f>
        <v>6.104360639555555</v>
      </c>
      <c r="O48">
        <v>5</v>
      </c>
      <c r="P48">
        <f t="shared" si="2"/>
        <v>8</v>
      </c>
      <c r="Q48">
        <f t="shared" si="3"/>
        <v>130</v>
      </c>
      <c r="R48">
        <f t="shared" si="4"/>
        <v>40</v>
      </c>
      <c r="S48">
        <f t="shared" ref="S48:S58" si="5">IF(T48&gt;0,T48,"")</f>
        <v>30</v>
      </c>
      <c r="T48" cm="1">
        <f t="array" ref="T48">_xlfn.XLOOKUP(SelectedNozzle,IF(SelectedSpeed="High",AngTable_high[Nozzle],AngTable_low[Nozzle]),IF(SelectedSpeed="High",AngTable_high[v3], AngTable_low[v3]))</f>
        <v>30</v>
      </c>
      <c r="U48">
        <f>_xlfn.XLOOKUP(SelectedNozzle,OrfTable[Nozzle],OrfTable[v3])</f>
        <v>8</v>
      </c>
      <c r="V48" cm="1">
        <f t="array" ref="V48">_xlfn.XLOOKUP(SelectedNozzle,IF(SelectedSpeed="High",PressTable_high[Nozzle],PressTable_low[Nozzle]),IF(SelectedSpeed="High",PressTable_high[v3], PressTable_low[v3]))</f>
        <v>40</v>
      </c>
      <c r="W48" cm="1">
        <f t="array" ref="W48">_xlfn.XLOOKUP(SelectedNozzle,IF(SelectedSpeed="High",ASTable_high[Nozzle],ASTable_low[Nozzle]),IF(SelectedSpeed="High",ASTable_high[v3], ASTable_low[v3]))</f>
        <v>130</v>
      </c>
    </row>
    <row r="49" spans="1:23">
      <c r="D49" t="s">
        <v>46</v>
      </c>
      <c r="E49">
        <f>'Atomization Model'!I18</f>
        <v>0</v>
      </c>
      <c r="F49">
        <f>(E49-E55)/F55</f>
        <v>-1</v>
      </c>
      <c r="I49" s="41" t="s">
        <v>9</v>
      </c>
      <c r="J49" s="42">
        <f>E41+$F$46*F41+$F$47*G41+$F$48*H41+$F$49*I41+$F$46*$F$47*J41+$F$46*$F$48*K41+$F$47*$F$48*L41+$F$46*$F$49*M41+$F$47*$F$49*N41+$F$48*$F$49*O41+$F$46*$F$46*P41+$F$47*$F$47*Q41+$F$48*$F$48*R41+$F$49*$F$49*S41</f>
        <v>27.323815127777781</v>
      </c>
      <c r="K49">
        <f>IF(J49&lt;0,0.02,J49)</f>
        <v>27.323815127777781</v>
      </c>
      <c r="O49">
        <v>6</v>
      </c>
      <c r="P49">
        <f t="shared" si="2"/>
        <v>10</v>
      </c>
      <c r="Q49">
        <f t="shared" si="3"/>
        <v>135</v>
      </c>
      <c r="R49">
        <f t="shared" si="4"/>
        <v>45</v>
      </c>
      <c r="S49">
        <f t="shared" si="5"/>
        <v>45</v>
      </c>
      <c r="T49" cm="1">
        <f t="array" ref="T49">_xlfn.XLOOKUP(SelectedNozzle,IF(SelectedSpeed="High",AngTable_high[Nozzle],AngTable_low[Nozzle]),IF(SelectedSpeed="High",AngTable_high[v4], AngTable_low[v4]))</f>
        <v>45</v>
      </c>
      <c r="U49">
        <f>_xlfn.XLOOKUP(SelectedNozzle,OrfTable[Nozzle],OrfTable[v4])</f>
        <v>10</v>
      </c>
      <c r="V49" cm="1">
        <f t="array" ref="V49">_xlfn.XLOOKUP(SelectedNozzle,IF(SelectedSpeed="High",PressTable_high[Nozzle],PressTable_low[Nozzle]),IF(SelectedSpeed="High",PressTable_high[v4], PressTable_low[v4]))</f>
        <v>45</v>
      </c>
      <c r="W49" cm="1">
        <f t="array" ref="W49">_xlfn.XLOOKUP(SelectedNozzle,IF(SelectedSpeed="High",ASTable_high[Nozzle],ASTable_low[Nozzle]),IF(SelectedSpeed="High",ASTable_high[v4], ASTable_low[v4]))</f>
        <v>135</v>
      </c>
    </row>
    <row r="50" spans="1:23">
      <c r="O50">
        <v>7</v>
      </c>
      <c r="P50">
        <f t="shared" si="2"/>
        <v>12</v>
      </c>
      <c r="Q50">
        <f t="shared" si="3"/>
        <v>140</v>
      </c>
      <c r="R50">
        <f t="shared" si="4"/>
        <v>50</v>
      </c>
      <c r="S50">
        <f t="shared" si="5"/>
        <v>60</v>
      </c>
      <c r="T50" cm="1">
        <f t="array" ref="T50">_xlfn.XLOOKUP(SelectedNozzle,IF(SelectedSpeed="High",AngTable_high[Nozzle],AngTable_low[Nozzle]),IF(SelectedSpeed="High",AngTable_high[v5], AngTable_low[v5]))</f>
        <v>60</v>
      </c>
      <c r="U50">
        <f>_xlfn.XLOOKUP(SelectedNozzle,OrfTable[Nozzle],OrfTable[v5])</f>
        <v>12</v>
      </c>
      <c r="V50" cm="1">
        <f t="array" ref="V50">_xlfn.XLOOKUP(SelectedNozzle,IF(SelectedSpeed="High",PressTable_high[Nozzle],PressTable_low[Nozzle]),IF(SelectedSpeed="High",PressTable_high[v5], PressTable_low[v5]))</f>
        <v>50</v>
      </c>
      <c r="W50" cm="1">
        <f t="array" ref="W50">_xlfn.XLOOKUP(SelectedNozzle,IF(SelectedSpeed="High",ASTable_high[Nozzle],ASTable_low[Nozzle]),IF(SelectedSpeed="High",ASTable_high[v5], ASTable_low[v5]))</f>
        <v>140</v>
      </c>
    </row>
    <row r="51" spans="1:23">
      <c r="E51" s="7" t="s">
        <v>66</v>
      </c>
      <c r="F51" s="7" t="s">
        <v>67</v>
      </c>
      <c r="O51">
        <v>8</v>
      </c>
      <c r="P51">
        <f t="shared" si="2"/>
        <v>15</v>
      </c>
      <c r="Q51">
        <f t="shared" si="3"/>
        <v>145</v>
      </c>
      <c r="R51">
        <f t="shared" si="4"/>
        <v>55</v>
      </c>
      <c r="S51">
        <f t="shared" si="5"/>
        <v>75</v>
      </c>
      <c r="T51" cm="1">
        <f t="array" ref="T51">_xlfn.XLOOKUP(SelectedNozzle,IF(SelectedSpeed="High",AngTable_high[Nozzle],AngTable_low[Nozzle]),IF(SelectedSpeed="High",AngTable_high[v6], AngTable_low[v6]))</f>
        <v>75</v>
      </c>
      <c r="U51">
        <f>_xlfn.XLOOKUP(SelectedNozzle,OrfTable[Nozzle],OrfTable[v6])</f>
        <v>15</v>
      </c>
      <c r="V51" cm="1">
        <f t="array" ref="V51">_xlfn.XLOOKUP(SelectedNozzle,IF(SelectedSpeed="High",PressTable_high[Nozzle],PressTable_low[Nozzle]),IF(SelectedSpeed="High",PressTable_high[v6], PressTable_low[v6]))</f>
        <v>55</v>
      </c>
      <c r="W51" cm="1">
        <f t="array" ref="W51">_xlfn.XLOOKUP(SelectedNozzle,IF(SelectedSpeed="High",ASTable_high[Nozzle],ASTable_low[Nozzle]),IF(SelectedSpeed="High",ASTable_high[v6], ASTable_low[v6]))</f>
        <v>145</v>
      </c>
    </row>
    <row r="52" spans="1:23">
      <c r="D52" s="7" t="s">
        <v>62</v>
      </c>
      <c r="E52" cm="1">
        <f t="array" ref="E52">_xlfn.XLOOKUP(SelectedNozzle,IF(SelectedSpeed="High",CCDFactorTable_high[Nozzle],CCDFactorTable_low[Nozzle]),IF(SelectedSpeed="High",CCDFactorTable_high[Orf Sub], CCDFactorTable_low[Orf Sub]))</f>
        <v>12</v>
      </c>
      <c r="F52" cm="1">
        <f t="array" ref="F52">_xlfn.XLOOKUP(SelectedNozzle,IF(SelectedSpeed="High",CCDFactorTable_high[Nozzle],CCDFactorTable_low[Nozzle]),IF(SelectedSpeed="High",CCDFactorTable_high[Orf Div], CCDFactorTable_low[Orf Div]))</f>
        <v>8</v>
      </c>
      <c r="O52">
        <v>9</v>
      </c>
      <c r="P52">
        <f t="shared" si="2"/>
        <v>20</v>
      </c>
      <c r="Q52">
        <f t="shared" si="3"/>
        <v>150</v>
      </c>
      <c r="R52">
        <f t="shared" si="4"/>
        <v>60</v>
      </c>
      <c r="S52">
        <f t="shared" si="5"/>
        <v>90</v>
      </c>
      <c r="T52" cm="1">
        <f t="array" ref="T52">_xlfn.XLOOKUP(SelectedNozzle,IF(SelectedSpeed="High",AngTable_high[Nozzle],AngTable_low[Nozzle]),IF(SelectedSpeed="High",AngTable_high[v7], AngTable_low[v7]))</f>
        <v>90</v>
      </c>
      <c r="U52">
        <f>_xlfn.XLOOKUP(SelectedNozzle,OrfTable[Nozzle],OrfTable[v7])</f>
        <v>20</v>
      </c>
      <c r="V52" cm="1">
        <f t="array" ref="V52">_xlfn.XLOOKUP(SelectedNozzle,IF(SelectedSpeed="High",PressTable_high[Nozzle],PressTable_low[Nozzle]),IF(SelectedSpeed="High",PressTable_high[v7], PressTable_low[v7]))</f>
        <v>60</v>
      </c>
      <c r="W52" cm="1">
        <f t="array" ref="W52">_xlfn.XLOOKUP(SelectedNozzle,IF(SelectedSpeed="High",ASTable_high[Nozzle],ASTable_low[Nozzle]),IF(SelectedSpeed="High",ASTable_high[v7], ASTable_low[v7]))</f>
        <v>150</v>
      </c>
    </row>
    <row r="53" spans="1:23">
      <c r="D53" s="7" t="s">
        <v>63</v>
      </c>
      <c r="E53" cm="1">
        <f t="array" ref="E53">_xlfn.XLOOKUP(SelectedNozzle,IF(SelectedSpeed="High",CCDFactorTable_high[Nozzle],CCDFactorTable_low[Nozzle]),IF(SelectedSpeed="High",CCDFactorTable_high[AS Sub], CCDFactorTable_low[AS Sub]))</f>
        <v>150</v>
      </c>
      <c r="F53" cm="1">
        <f t="array" ref="F53">_xlfn.XLOOKUP(SelectedNozzle,IF(SelectedSpeed="High",CCDFactorTable_high[Nozzle],CCDFactorTable_low[Nozzle]),IF(SelectedSpeed="High",CCDFactorTable_high[AS Div], CCDFactorTable_low[AS Div]))</f>
        <v>30</v>
      </c>
      <c r="O53">
        <v>10</v>
      </c>
      <c r="P53" t="str">
        <f t="shared" si="2"/>
        <v/>
      </c>
      <c r="Q53">
        <f t="shared" si="3"/>
        <v>155</v>
      </c>
      <c r="R53">
        <f t="shared" si="4"/>
        <v>65</v>
      </c>
      <c r="S53" t="str">
        <f t="shared" si="5"/>
        <v/>
      </c>
      <c r="T53" cm="1">
        <f t="array" ref="T53">_xlfn.XLOOKUP(SelectedNozzle,IF(SelectedSpeed="High",AngTable_high[Nozzle],AngTable_low[Nozzle]),IF(SelectedSpeed="High",AngTable_high[v8], AngTable_low[v8]))</f>
        <v>0</v>
      </c>
      <c r="U53">
        <f>_xlfn.XLOOKUP(SelectedNozzle,OrfTable[Nozzle],OrfTable[v8])</f>
        <v>0</v>
      </c>
      <c r="V53" cm="1">
        <f t="array" ref="V53">_xlfn.XLOOKUP(SelectedNozzle,IF(SelectedSpeed="High",PressTable_high[Nozzle],PressTable_low[Nozzle]),IF(SelectedSpeed="High",PressTable_high[v8], PressTable_low[v8]))</f>
        <v>65</v>
      </c>
      <c r="W53" cm="1">
        <f t="array" ref="W53">_xlfn.XLOOKUP(SelectedNozzle,IF(SelectedSpeed="High",ASTable_high[Nozzle],ASTable_low[Nozzle]),IF(SelectedSpeed="High",ASTable_high[v8], ASTable_low[v8]))</f>
        <v>155</v>
      </c>
    </row>
    <row r="54" spans="1:23">
      <c r="D54" s="7" t="s">
        <v>64</v>
      </c>
      <c r="E54" cm="1">
        <f t="array" ref="E54">_xlfn.XLOOKUP(SelectedNozzle,IF(SelectedSpeed="High",CCDFactorTable_high[Nozzle],CCDFactorTable_low[Nozzle]),IF(SelectedSpeed="High",CCDFactorTable_high[Press Sub], CCDFactorTable_low[Press Sub]))</f>
        <v>60</v>
      </c>
      <c r="F54" cm="1">
        <f t="array" ref="F54">_xlfn.XLOOKUP(SelectedNozzle,IF(SelectedSpeed="High",CCDFactorTable_high[Nozzle],CCDFactorTable_low[Nozzle]),IF(SelectedSpeed="High",CCDFactorTable_high[Press Div], CCDFactorTable_low[Press Div]))</f>
        <v>30</v>
      </c>
      <c r="O54">
        <v>11</v>
      </c>
      <c r="P54" t="str">
        <f t="shared" si="2"/>
        <v/>
      </c>
      <c r="Q54">
        <f t="shared" si="3"/>
        <v>160</v>
      </c>
      <c r="R54">
        <f t="shared" si="4"/>
        <v>70</v>
      </c>
      <c r="S54" t="str">
        <f t="shared" si="5"/>
        <v/>
      </c>
      <c r="T54" cm="1">
        <f t="array" ref="T54">_xlfn.XLOOKUP(SelectedNozzle,IF(SelectedSpeed="High",AngTable_high[Nozzle],AngTable_low[Nozzle]),IF(SelectedSpeed="High",AngTable_high[v9], AngTable_low[v9]))</f>
        <v>0</v>
      </c>
      <c r="U54">
        <f>_xlfn.XLOOKUP(SelectedNozzle,OrfTable[Nozzle],OrfTable[v9])</f>
        <v>0</v>
      </c>
      <c r="V54" cm="1">
        <f t="array" ref="V54">_xlfn.XLOOKUP(SelectedNozzle,IF(SelectedSpeed="High",PressTable_high[Nozzle],PressTable_low[Nozzle]),IF(SelectedSpeed="High",PressTable_high[v9], PressTable_low[v9]))</f>
        <v>70</v>
      </c>
      <c r="W54" cm="1">
        <f t="array" ref="W54">_xlfn.XLOOKUP(SelectedNozzle,IF(SelectedSpeed="High",ASTable_high[Nozzle],ASTable_low[Nozzle]),IF(SelectedSpeed="High",ASTable_high[v9], ASTable_low[v9]))</f>
        <v>160</v>
      </c>
    </row>
    <row r="55" spans="1:23" ht="14" thickBot="1">
      <c r="D55" s="7" t="s">
        <v>65</v>
      </c>
      <c r="E55" cm="1">
        <f t="array" ref="E55">_xlfn.XLOOKUP(SelectedNozzle,IF(SelectedSpeed="High",CCDFactorTable_high[Nozzle],CCDFactorTable_low[Nozzle]),IF(SelectedSpeed="High",CCDFactorTable_high[Ang Sub], CCDFactorTable_low[Ang Sub]))</f>
        <v>45</v>
      </c>
      <c r="F55" cm="1">
        <f t="array" ref="F55">_xlfn.XLOOKUP(SelectedNozzle,IF(SelectedSpeed="High",CCDFactorTable_high[Nozzle],CCDFactorTable_low[Nozzle]),IF(SelectedSpeed="High",CCDFactorTable_high[Ang Div], CCDFactorTable_low[Ang Div]))</f>
        <v>45</v>
      </c>
      <c r="O55">
        <v>12</v>
      </c>
      <c r="P55" t="str">
        <f t="shared" si="2"/>
        <v/>
      </c>
      <c r="Q55">
        <f t="shared" si="3"/>
        <v>165</v>
      </c>
      <c r="R55">
        <f t="shared" si="4"/>
        <v>75</v>
      </c>
      <c r="S55" t="str">
        <f t="shared" si="5"/>
        <v/>
      </c>
      <c r="T55" cm="1">
        <f t="array" ref="T55">_xlfn.XLOOKUP(SelectedNozzle,IF(SelectedSpeed="High",AngTable_high[Nozzle],AngTable_low[Nozzle]),IF(SelectedSpeed="High",AngTable_high[v10], AngTable_low[v10]))</f>
        <v>0</v>
      </c>
      <c r="U55">
        <f>_xlfn.XLOOKUP(SelectedNozzle,OrfTable[Nozzle],OrfTable[v10])</f>
        <v>0</v>
      </c>
      <c r="V55" cm="1">
        <f t="array" ref="V55">_xlfn.XLOOKUP(SelectedNozzle,IF(SelectedSpeed="High",PressTable_high[Nozzle],PressTable_low[Nozzle]),IF(SelectedSpeed="High",PressTable_high[v10], PressTable_low[v10]))</f>
        <v>75</v>
      </c>
      <c r="W55" cm="1">
        <f t="array" ref="W55">_xlfn.XLOOKUP(SelectedNozzle,IF(SelectedSpeed="High",ASTable_high[Nozzle],ASTable_low[Nozzle]),IF(SelectedSpeed="High",ASTable_high[v10], ASTable_low[v10]))</f>
        <v>165</v>
      </c>
    </row>
    <row r="56" spans="1:23" ht="14" thickBot="1">
      <c r="A56" s="156" t="s">
        <v>20</v>
      </c>
      <c r="B56" s="173" t="s">
        <v>225</v>
      </c>
      <c r="C56" s="173">
        <f>'Atomization Model'!F18</f>
        <v>4</v>
      </c>
      <c r="E56" s="189" t="s">
        <v>238</v>
      </c>
      <c r="F56" s="189">
        <f>'Atomization Model'!I18</f>
        <v>0</v>
      </c>
      <c r="O56">
        <v>13</v>
      </c>
      <c r="P56" t="str">
        <f t="shared" si="2"/>
        <v/>
      </c>
      <c r="Q56">
        <f t="shared" si="3"/>
        <v>170</v>
      </c>
      <c r="R56">
        <f t="shared" si="4"/>
        <v>80</v>
      </c>
      <c r="S56" t="str">
        <f t="shared" si="5"/>
        <v/>
      </c>
      <c r="U56">
        <f>_xlfn.XLOOKUP(SelectedNozzle,OrfTable[Nozzle],OrfTable[v11])</f>
        <v>0</v>
      </c>
      <c r="V56" cm="1">
        <f t="array" ref="V56">_xlfn.XLOOKUP(SelectedNozzle,IF(SelectedSpeed="High",PressTable_high[Nozzle],PressTable_low[Nozzle]),IF(SelectedSpeed="High",PressTable_high[v11], PressTable_low[v11]))</f>
        <v>80</v>
      </c>
      <c r="W56" cm="1">
        <f t="array" ref="W56">_xlfn.XLOOKUP(SelectedNozzle,IF(SelectedSpeed="High",ASTable_high[Nozzle],ASTable_low[Nozzle]),IF(SelectedSpeed="High",ASTable_high[v11], ASTable_low[v11]))</f>
        <v>170</v>
      </c>
    </row>
    <row r="57" spans="1:23">
      <c r="A57" s="154" t="s">
        <v>161</v>
      </c>
      <c r="B57" s="157" t="s">
        <v>167</v>
      </c>
      <c r="C57" s="158" t="str">
        <f>'Atomization Model'!$G$6</f>
        <v>High</v>
      </c>
      <c r="D57" s="159"/>
      <c r="O57">
        <v>14</v>
      </c>
      <c r="P57" t="str">
        <f t="shared" si="2"/>
        <v/>
      </c>
      <c r="Q57">
        <f t="shared" si="3"/>
        <v>175</v>
      </c>
      <c r="R57">
        <f t="shared" si="4"/>
        <v>85</v>
      </c>
      <c r="S57" t="str">
        <f t="shared" si="5"/>
        <v/>
      </c>
      <c r="U57">
        <f>_xlfn.XLOOKUP(SelectedNozzle,OrfTable[Nozzle],OrfTable[v12])</f>
        <v>0</v>
      </c>
      <c r="V57" cm="1">
        <f t="array" ref="V57">_xlfn.XLOOKUP(SelectedNozzle,IF(SelectedSpeed="High",PressTable_high[Nozzle],PressTable_low[Nozzle]),IF(SelectedSpeed="High",PressTable_high[v12], PressTable_low[v12]))</f>
        <v>85</v>
      </c>
      <c r="W57" cm="1">
        <f t="array" ref="W57">_xlfn.XLOOKUP(SelectedNozzle,IF(SelectedSpeed="High",ASTable_high[Nozzle],ASTable_low[Nozzle]),IF(SelectedSpeed="High",ASTable_high[v12], ASTable_low[v12]))</f>
        <v>175</v>
      </c>
    </row>
    <row r="58" spans="1:23" ht="14" thickBot="1">
      <c r="A58" s="155" t="s">
        <v>162</v>
      </c>
      <c r="B58" s="160" t="s">
        <v>168</v>
      </c>
      <c r="C58" s="161" t="str">
        <f>'Atomization Model'!$G$9</f>
        <v>CP11TT 20° Flat Fan</v>
      </c>
      <c r="D58" s="162"/>
      <c r="O58">
        <v>15</v>
      </c>
      <c r="P58" t="str">
        <f t="shared" si="2"/>
        <v/>
      </c>
      <c r="Q58">
        <f t="shared" si="3"/>
        <v>180</v>
      </c>
      <c r="R58">
        <f t="shared" si="4"/>
        <v>90</v>
      </c>
      <c r="S58" t="str">
        <f t="shared" si="5"/>
        <v/>
      </c>
      <c r="U58">
        <f>_xlfn.XLOOKUP(SelectedNozzle,OrfTable[Nozzle],OrfTable[v13])</f>
        <v>0</v>
      </c>
      <c r="V58" cm="1">
        <f t="array" ref="V58">_xlfn.XLOOKUP(SelectedNozzle,IF(SelectedSpeed="High",PressTable_high[Nozzle],PressTable_low[Nozzle]),IF(SelectedSpeed="High",PressTable_high[v13], PressTable_low[v13]))</f>
        <v>90</v>
      </c>
      <c r="W58" cm="1">
        <f t="array" ref="W58">_xlfn.XLOOKUP(SelectedNozzle,IF(SelectedSpeed="High",ASTable_high[Nozzle],ASTable_low[Nozzle]),IF(SelectedSpeed="High",ASTable_high[v13], ASTable_low[v13]))</f>
        <v>180</v>
      </c>
    </row>
    <row r="59" spans="1:23">
      <c r="A59" s="7" t="s">
        <v>205</v>
      </c>
      <c r="B59" s="171" t="str" cm="1">
        <f t="array" ref="B59">_xlfn.XLOOKUP(SelectedNozzle,IF(SelectedSpeed="High",AngTable_high[Nozzle],AngTable_low[Nozzle]),IF(SelectedSpeed="High",AngTable_high[Text], AngTable_low[Text]))</f>
        <v>Nozzle Angle</v>
      </c>
      <c r="C59" s="170"/>
      <c r="D59" s="170"/>
      <c r="O59">
        <v>16</v>
      </c>
      <c r="P59" t="str">
        <f>IF(U59&gt;0,U59,"")</f>
        <v/>
      </c>
      <c r="Q59" t="str">
        <f t="shared" si="3"/>
        <v/>
      </c>
      <c r="S59" t="str">
        <f>IF(T59&gt;0,T59,"")</f>
        <v/>
      </c>
      <c r="U59">
        <f>_xlfn.XLOOKUP(SelectedNozzle,OrfTable[Nozzle],OrfTable[v14])</f>
        <v>0</v>
      </c>
      <c r="W59" cm="1">
        <f t="array" ref="W59">_xlfn.XLOOKUP(SelectedNozzle,IF(SelectedSpeed="High",ASTable_high[Nozzle],ASTable_low[Nozzle]),IF(SelectedSpeed="High",ASTable_high[v14], ASTable_low[v14]))</f>
        <v>0</v>
      </c>
    </row>
    <row r="60" spans="1:23">
      <c r="A60" s="7" t="s">
        <v>206</v>
      </c>
      <c r="B60" t="str" cm="1">
        <f t="array" ref="B60">_xlfn.XLOOKUP(SelectedNozzle,IF(SelectedSpeed="High",AngTable_high[Nozzle],AngTable_low[Nozzle]),IF(SelectedSpeed="High",AngTable_high[Range], AngTable_low[Range]))</f>
        <v>0 to 90</v>
      </c>
      <c r="Q60" t="str">
        <f t="shared" si="3"/>
        <v/>
      </c>
      <c r="W60" cm="1">
        <f t="array" ref="W60">_xlfn.XLOOKUP(SelectedNozzle,IF(SelectedSpeed="High",ASTable_high[Nozzle],ASTable_low[Nozzle]),IF(SelectedSpeed="High",ASTable_high[v15], ASTable_low[v15]))</f>
        <v>0</v>
      </c>
    </row>
    <row r="61" spans="1:23">
      <c r="A61" s="7" t="s">
        <v>207</v>
      </c>
      <c r="B61" t="str" cm="1">
        <f t="array" ref="B61">_xlfn.XLOOKUP(SelectedNozzle,IF(SelectedSpeed="High",PressTable_high[Nozzle],PressTable_low[Nozzle]),IF(SelectedSpeed="High",PressTable_high[Range], PressTable_low[Range]))</f>
        <v>30 to 90 psi</v>
      </c>
    </row>
    <row r="62" spans="1:23">
      <c r="A62" s="7" t="s">
        <v>208</v>
      </c>
      <c r="B62" t="str" cm="1">
        <f t="array" ref="B62">_xlfn.XLOOKUP(SelectedNozzle,IF(SelectedSpeed="High",ASTable_high[Nozzle],ASTable_low[Nozzle]),IF(SelectedSpeed="High",ASTable_high[Range], ASTable_low[Range]))</f>
        <v>120 to 180 mph</v>
      </c>
    </row>
    <row r="63" spans="1:23">
      <c r="A63" s="7" t="s">
        <v>212</v>
      </c>
      <c r="B63" t="str">
        <f>_xlfn.XLOOKUP(SelectedNozzle,OrfTable[Nozzle],OrfTable[Range])</f>
        <v>4 to 20</v>
      </c>
    </row>
    <row r="65" spans="1:20">
      <c r="A65" s="7" t="s">
        <v>172</v>
      </c>
      <c r="L65" s="7" t="s">
        <v>173</v>
      </c>
    </row>
    <row r="66" spans="1:20">
      <c r="A66" s="7" t="s">
        <v>122</v>
      </c>
      <c r="B66" s="7" t="s">
        <v>68</v>
      </c>
      <c r="C66" s="7" t="s">
        <v>69</v>
      </c>
      <c r="D66" s="7" t="s">
        <v>70</v>
      </c>
      <c r="E66" s="7" t="s">
        <v>71</v>
      </c>
      <c r="F66" s="7" t="s">
        <v>72</v>
      </c>
      <c r="G66" s="7" t="s">
        <v>73</v>
      </c>
      <c r="H66" s="7" t="s">
        <v>143</v>
      </c>
      <c r="I66" s="7" t="s">
        <v>74</v>
      </c>
      <c r="L66" s="7" t="s">
        <v>122</v>
      </c>
      <c r="M66" t="s">
        <v>68</v>
      </c>
      <c r="N66" t="s">
        <v>69</v>
      </c>
      <c r="O66" t="s">
        <v>70</v>
      </c>
      <c r="P66" t="s">
        <v>71</v>
      </c>
      <c r="Q66" t="s">
        <v>72</v>
      </c>
      <c r="R66" t="s">
        <v>73</v>
      </c>
      <c r="S66" s="7" t="s">
        <v>143</v>
      </c>
      <c r="T66" t="s">
        <v>74</v>
      </c>
    </row>
    <row r="67" spans="1:20">
      <c r="A67" s="7" t="s">
        <v>105</v>
      </c>
      <c r="B67">
        <v>12</v>
      </c>
      <c r="C67">
        <v>8</v>
      </c>
      <c r="D67">
        <v>150</v>
      </c>
      <c r="E67">
        <v>30</v>
      </c>
      <c r="F67">
        <v>60</v>
      </c>
      <c r="G67">
        <v>30</v>
      </c>
      <c r="H67">
        <v>45</v>
      </c>
      <c r="I67">
        <v>45</v>
      </c>
      <c r="L67" t="s">
        <v>105</v>
      </c>
      <c r="M67">
        <v>12</v>
      </c>
      <c r="N67">
        <v>8</v>
      </c>
      <c r="O67">
        <v>85</v>
      </c>
      <c r="P67">
        <v>35</v>
      </c>
      <c r="Q67">
        <v>45</v>
      </c>
      <c r="R67">
        <v>15</v>
      </c>
      <c r="S67">
        <v>22.5</v>
      </c>
      <c r="T67">
        <v>22.5</v>
      </c>
    </row>
    <row r="68" spans="1:20">
      <c r="A68" s="7" t="s">
        <v>84</v>
      </c>
      <c r="B68">
        <v>17</v>
      </c>
      <c r="C68">
        <v>13</v>
      </c>
      <c r="D68">
        <v>150</v>
      </c>
      <c r="E68">
        <v>30</v>
      </c>
      <c r="F68">
        <v>60</v>
      </c>
      <c r="G68">
        <v>30</v>
      </c>
      <c r="H68">
        <v>45</v>
      </c>
      <c r="I68">
        <v>45</v>
      </c>
      <c r="L68" t="s">
        <v>84</v>
      </c>
      <c r="M68">
        <v>16</v>
      </c>
      <c r="N68">
        <v>14</v>
      </c>
      <c r="O68">
        <v>85</v>
      </c>
      <c r="P68">
        <v>35</v>
      </c>
      <c r="Q68">
        <v>45</v>
      </c>
      <c r="R68">
        <v>15</v>
      </c>
      <c r="S68">
        <v>22.5</v>
      </c>
      <c r="T68">
        <v>22.5</v>
      </c>
    </row>
    <row r="69" spans="1:20">
      <c r="A69" s="7" t="s">
        <v>82</v>
      </c>
      <c r="B69">
        <v>16</v>
      </c>
      <c r="C69">
        <v>14</v>
      </c>
      <c r="D69">
        <v>150</v>
      </c>
      <c r="E69">
        <v>30</v>
      </c>
      <c r="F69">
        <v>60</v>
      </c>
      <c r="G69">
        <v>30</v>
      </c>
      <c r="H69">
        <v>45</v>
      </c>
      <c r="I69">
        <v>45</v>
      </c>
      <c r="L69" t="s">
        <v>82</v>
      </c>
      <c r="M69">
        <v>16</v>
      </c>
      <c r="N69">
        <v>14</v>
      </c>
      <c r="O69">
        <v>85</v>
      </c>
      <c r="P69">
        <v>35</v>
      </c>
      <c r="Q69">
        <v>45</v>
      </c>
      <c r="R69">
        <v>15</v>
      </c>
      <c r="S69">
        <v>22.5</v>
      </c>
      <c r="T69">
        <v>22.5</v>
      </c>
    </row>
    <row r="70" spans="1:20">
      <c r="A70" s="7" t="s">
        <v>226</v>
      </c>
      <c r="B70">
        <v>0.11650000000000001</v>
      </c>
      <c r="C70">
        <v>5.5500000000000001E-2</v>
      </c>
      <c r="D70">
        <v>150</v>
      </c>
      <c r="E70">
        <v>30</v>
      </c>
      <c r="F70">
        <v>60</v>
      </c>
      <c r="G70">
        <v>30</v>
      </c>
      <c r="H70">
        <v>60</v>
      </c>
      <c r="I70">
        <v>30</v>
      </c>
      <c r="L70" t="s">
        <v>90</v>
      </c>
      <c r="M70">
        <v>15.5</v>
      </c>
      <c r="N70">
        <v>9.5</v>
      </c>
      <c r="O70">
        <v>100</v>
      </c>
      <c r="P70">
        <v>20</v>
      </c>
      <c r="Q70">
        <v>45</v>
      </c>
      <c r="R70">
        <v>15</v>
      </c>
      <c r="S70">
        <v>7.5</v>
      </c>
      <c r="T70">
        <v>7.5</v>
      </c>
    </row>
    <row r="71" spans="1:20">
      <c r="A71" s="7" t="s">
        <v>85</v>
      </c>
      <c r="B71">
        <v>9</v>
      </c>
      <c r="C71">
        <v>7</v>
      </c>
      <c r="D71">
        <v>150</v>
      </c>
      <c r="E71">
        <v>30</v>
      </c>
      <c r="F71">
        <v>60</v>
      </c>
      <c r="G71">
        <v>30</v>
      </c>
      <c r="H71">
        <v>45</v>
      </c>
      <c r="I71">
        <v>45</v>
      </c>
      <c r="L71" t="s">
        <v>123</v>
      </c>
      <c r="M71">
        <v>16</v>
      </c>
      <c r="N71">
        <v>14</v>
      </c>
      <c r="O71">
        <v>85</v>
      </c>
      <c r="P71">
        <v>35</v>
      </c>
      <c r="Q71">
        <v>45</v>
      </c>
      <c r="R71">
        <v>15</v>
      </c>
      <c r="S71">
        <v>22.5</v>
      </c>
      <c r="T71">
        <v>22.5</v>
      </c>
    </row>
    <row r="72" spans="1:20">
      <c r="A72" s="7" t="s">
        <v>94</v>
      </c>
      <c r="B72">
        <v>6</v>
      </c>
      <c r="C72">
        <v>4</v>
      </c>
      <c r="D72">
        <v>150</v>
      </c>
      <c r="E72">
        <v>30</v>
      </c>
      <c r="F72">
        <v>60</v>
      </c>
      <c r="G72">
        <v>30</v>
      </c>
      <c r="H72">
        <v>45</v>
      </c>
      <c r="I72">
        <v>45</v>
      </c>
      <c r="L72" t="s">
        <v>124</v>
      </c>
      <c r="M72">
        <v>16</v>
      </c>
      <c r="N72">
        <v>14</v>
      </c>
      <c r="O72">
        <v>85</v>
      </c>
      <c r="P72">
        <v>35</v>
      </c>
      <c r="Q72">
        <v>45</v>
      </c>
      <c r="R72">
        <v>15</v>
      </c>
      <c r="S72">
        <v>22.5</v>
      </c>
      <c r="T72">
        <v>22.5</v>
      </c>
    </row>
    <row r="73" spans="1:20">
      <c r="A73" s="7" t="s">
        <v>123</v>
      </c>
      <c r="B73">
        <v>16</v>
      </c>
      <c r="C73">
        <v>14</v>
      </c>
      <c r="D73">
        <v>150</v>
      </c>
      <c r="E73">
        <v>30</v>
      </c>
      <c r="F73">
        <v>60</v>
      </c>
      <c r="G73">
        <v>30</v>
      </c>
      <c r="H73">
        <v>45</v>
      </c>
      <c r="I73">
        <v>45</v>
      </c>
      <c r="L73" t="s">
        <v>169</v>
      </c>
      <c r="M73">
        <v>9</v>
      </c>
      <c r="N73">
        <v>7</v>
      </c>
      <c r="O73">
        <v>100</v>
      </c>
      <c r="P73">
        <v>20</v>
      </c>
      <c r="Q73">
        <v>45</v>
      </c>
      <c r="R73">
        <v>15</v>
      </c>
      <c r="S73">
        <v>7.5</v>
      </c>
      <c r="T73">
        <v>7.5</v>
      </c>
    </row>
    <row r="74" spans="1:20">
      <c r="A74" s="7" t="s">
        <v>124</v>
      </c>
      <c r="B74">
        <v>16</v>
      </c>
      <c r="C74">
        <v>14</v>
      </c>
      <c r="D74">
        <v>150</v>
      </c>
      <c r="E74">
        <v>30</v>
      </c>
      <c r="F74">
        <v>60</v>
      </c>
      <c r="G74">
        <v>30</v>
      </c>
      <c r="H74">
        <v>45</v>
      </c>
      <c r="I74">
        <v>45</v>
      </c>
      <c r="L74" t="s">
        <v>170</v>
      </c>
      <c r="M74">
        <v>6</v>
      </c>
      <c r="N74">
        <v>4</v>
      </c>
      <c r="O74">
        <v>100</v>
      </c>
      <c r="P74">
        <v>20</v>
      </c>
      <c r="Q74">
        <v>45</v>
      </c>
      <c r="R74">
        <v>15</v>
      </c>
      <c r="S74">
        <v>7.5</v>
      </c>
      <c r="T74">
        <v>7.5</v>
      </c>
    </row>
    <row r="75" spans="1:20">
      <c r="A75" s="7" t="s">
        <v>227</v>
      </c>
      <c r="B75">
        <v>0.11700000000000001</v>
      </c>
      <c r="C75">
        <v>5.5E-2</v>
      </c>
      <c r="D75">
        <v>150</v>
      </c>
      <c r="E75">
        <v>30</v>
      </c>
      <c r="F75">
        <v>60</v>
      </c>
      <c r="G75">
        <v>30</v>
      </c>
      <c r="H75">
        <v>17.5</v>
      </c>
      <c r="I75">
        <v>12.5</v>
      </c>
      <c r="L75" s="7" t="s">
        <v>227</v>
      </c>
      <c r="M75">
        <v>0.11700000000000001</v>
      </c>
      <c r="N75">
        <v>5.5E-2</v>
      </c>
      <c r="O75">
        <v>85</v>
      </c>
      <c r="P75">
        <v>35</v>
      </c>
      <c r="Q75">
        <v>45</v>
      </c>
      <c r="R75">
        <v>15</v>
      </c>
      <c r="S75">
        <v>17.5</v>
      </c>
      <c r="T75">
        <v>12.5</v>
      </c>
    </row>
    <row r="76" spans="1:20">
      <c r="A76" s="7" t="s">
        <v>90</v>
      </c>
      <c r="B76">
        <v>15.5</v>
      </c>
      <c r="C76">
        <v>9.5</v>
      </c>
      <c r="D76">
        <v>150</v>
      </c>
      <c r="E76">
        <v>30</v>
      </c>
      <c r="F76">
        <v>60</v>
      </c>
      <c r="G76">
        <v>30</v>
      </c>
      <c r="H76">
        <v>22.5</v>
      </c>
      <c r="I76">
        <v>22.5</v>
      </c>
      <c r="L76" s="7" t="s">
        <v>139</v>
      </c>
      <c r="M76">
        <v>9.35E-2</v>
      </c>
      <c r="N76">
        <v>3.15E-2</v>
      </c>
      <c r="O76">
        <v>85</v>
      </c>
      <c r="P76">
        <v>35</v>
      </c>
      <c r="Q76">
        <v>45</v>
      </c>
      <c r="R76">
        <v>15</v>
      </c>
      <c r="S76">
        <v>33.75</v>
      </c>
      <c r="T76">
        <v>11.25</v>
      </c>
    </row>
    <row r="77" spans="1:20">
      <c r="A77" s="7" t="s">
        <v>169</v>
      </c>
      <c r="B77">
        <v>7</v>
      </c>
      <c r="C77">
        <v>5</v>
      </c>
      <c r="D77">
        <v>150</v>
      </c>
      <c r="E77">
        <v>30</v>
      </c>
      <c r="F77">
        <v>60</v>
      </c>
      <c r="G77">
        <v>30</v>
      </c>
      <c r="H77">
        <v>22.5</v>
      </c>
      <c r="I77">
        <v>22.5</v>
      </c>
      <c r="L77" s="7" t="s">
        <v>226</v>
      </c>
      <c r="M77">
        <v>0.11650000000000001</v>
      </c>
      <c r="N77">
        <v>5.5500000000000001E-2</v>
      </c>
      <c r="O77">
        <v>85</v>
      </c>
      <c r="P77">
        <v>35</v>
      </c>
      <c r="Q77">
        <v>45</v>
      </c>
      <c r="R77">
        <v>15</v>
      </c>
      <c r="S77">
        <v>60</v>
      </c>
      <c r="T77">
        <v>30</v>
      </c>
    </row>
    <row r="78" spans="1:20">
      <c r="A78" s="7" t="s">
        <v>139</v>
      </c>
      <c r="B78">
        <v>9.2999999999999999E-2</v>
      </c>
      <c r="C78">
        <v>3.2000000000000001E-2</v>
      </c>
      <c r="D78">
        <v>150</v>
      </c>
      <c r="E78">
        <v>30</v>
      </c>
      <c r="F78">
        <v>60</v>
      </c>
      <c r="G78">
        <v>30</v>
      </c>
      <c r="H78">
        <v>33.75</v>
      </c>
      <c r="I78">
        <v>11.25</v>
      </c>
      <c r="L78" t="s">
        <v>85</v>
      </c>
      <c r="M78">
        <v>9</v>
      </c>
      <c r="N78">
        <v>7</v>
      </c>
      <c r="O78">
        <v>85</v>
      </c>
      <c r="P78">
        <v>35</v>
      </c>
      <c r="Q78">
        <v>45</v>
      </c>
      <c r="R78">
        <v>15</v>
      </c>
      <c r="S78">
        <v>22.5</v>
      </c>
      <c r="T78">
        <v>22.5</v>
      </c>
    </row>
    <row r="79" spans="1:20">
      <c r="A79" s="7" t="s">
        <v>142</v>
      </c>
      <c r="B79">
        <v>0</v>
      </c>
      <c r="C79">
        <v>1</v>
      </c>
      <c r="D79">
        <v>150</v>
      </c>
      <c r="E79">
        <v>30</v>
      </c>
      <c r="F79">
        <v>45</v>
      </c>
      <c r="G79">
        <v>15</v>
      </c>
      <c r="H79">
        <v>45</v>
      </c>
      <c r="I79">
        <v>45</v>
      </c>
      <c r="L79" t="s">
        <v>94</v>
      </c>
      <c r="M79">
        <v>6</v>
      </c>
      <c r="N79">
        <v>4</v>
      </c>
      <c r="O79">
        <v>85</v>
      </c>
      <c r="P79">
        <v>35</v>
      </c>
      <c r="Q79">
        <v>45</v>
      </c>
      <c r="R79">
        <v>15</v>
      </c>
      <c r="S79">
        <v>22.5</v>
      </c>
      <c r="T79">
        <v>22.5</v>
      </c>
    </row>
    <row r="80" spans="1:20">
      <c r="A80" s="7" t="s">
        <v>134</v>
      </c>
      <c r="B80">
        <v>11</v>
      </c>
      <c r="C80">
        <v>9</v>
      </c>
      <c r="D80">
        <v>153</v>
      </c>
      <c r="E80">
        <v>33</v>
      </c>
      <c r="F80">
        <v>58</v>
      </c>
      <c r="G80">
        <v>35</v>
      </c>
      <c r="H80">
        <v>1</v>
      </c>
      <c r="I80">
        <v>1</v>
      </c>
      <c r="L80" s="7" t="s">
        <v>223</v>
      </c>
      <c r="M80">
        <v>0.11700000000000001</v>
      </c>
      <c r="N80">
        <v>5.5E-2</v>
      </c>
      <c r="O80">
        <v>95</v>
      </c>
      <c r="P80">
        <v>25</v>
      </c>
      <c r="Q80">
        <v>45</v>
      </c>
      <c r="R80">
        <v>15</v>
      </c>
      <c r="S80">
        <v>1</v>
      </c>
      <c r="T80">
        <v>1</v>
      </c>
    </row>
    <row r="81" spans="1:20">
      <c r="A81" s="7" t="s">
        <v>135</v>
      </c>
      <c r="B81">
        <v>11</v>
      </c>
      <c r="C81">
        <v>9</v>
      </c>
      <c r="D81">
        <v>150.5</v>
      </c>
      <c r="E81">
        <v>30.5</v>
      </c>
      <c r="F81">
        <v>59.5</v>
      </c>
      <c r="G81">
        <v>32.5</v>
      </c>
      <c r="H81">
        <v>1</v>
      </c>
      <c r="I81">
        <v>1</v>
      </c>
      <c r="L81" s="7" t="s">
        <v>220</v>
      </c>
      <c r="M81">
        <v>9.35E-2</v>
      </c>
      <c r="N81">
        <v>3.15E-2</v>
      </c>
      <c r="O81">
        <v>95</v>
      </c>
      <c r="P81">
        <v>25</v>
      </c>
      <c r="Q81">
        <v>45</v>
      </c>
      <c r="R81">
        <v>15</v>
      </c>
      <c r="S81">
        <v>1</v>
      </c>
      <c r="T81">
        <v>1</v>
      </c>
    </row>
    <row r="82" spans="1:20">
      <c r="A82" s="7" t="s">
        <v>215</v>
      </c>
      <c r="B82">
        <v>0.1055</v>
      </c>
      <c r="C82">
        <v>3.85E-2</v>
      </c>
      <c r="D82">
        <v>150</v>
      </c>
      <c r="E82">
        <v>30</v>
      </c>
      <c r="F82">
        <v>60</v>
      </c>
      <c r="G82">
        <v>30</v>
      </c>
      <c r="H82">
        <v>1</v>
      </c>
      <c r="I82">
        <v>1</v>
      </c>
      <c r="L82" t="s">
        <v>171</v>
      </c>
      <c r="M82">
        <v>6</v>
      </c>
      <c r="N82">
        <v>2</v>
      </c>
      <c r="O82">
        <v>85</v>
      </c>
      <c r="P82">
        <v>35</v>
      </c>
      <c r="Q82">
        <v>45</v>
      </c>
      <c r="R82">
        <v>15</v>
      </c>
      <c r="S82">
        <v>22.5</v>
      </c>
      <c r="T82">
        <v>22.5</v>
      </c>
    </row>
    <row r="83" spans="1:20">
      <c r="A83" s="7" t="s">
        <v>214</v>
      </c>
      <c r="B83">
        <v>0.1055</v>
      </c>
      <c r="C83">
        <v>3.85E-2</v>
      </c>
      <c r="D83">
        <v>150</v>
      </c>
      <c r="E83">
        <v>30</v>
      </c>
      <c r="F83">
        <v>60</v>
      </c>
      <c r="G83">
        <v>30</v>
      </c>
      <c r="H83">
        <v>22.5</v>
      </c>
      <c r="I83">
        <v>7.5</v>
      </c>
      <c r="L83" s="7" t="s">
        <v>221</v>
      </c>
      <c r="M83">
        <v>0.11700000000000001</v>
      </c>
      <c r="N83">
        <v>5.5E-2</v>
      </c>
      <c r="O83">
        <v>95</v>
      </c>
      <c r="P83">
        <v>25</v>
      </c>
      <c r="Q83">
        <v>60</v>
      </c>
      <c r="R83">
        <v>30</v>
      </c>
      <c r="S83">
        <v>60</v>
      </c>
      <c r="T83">
        <v>30</v>
      </c>
    </row>
    <row r="84" spans="1:20">
      <c r="A84" s="7" t="s">
        <v>218</v>
      </c>
      <c r="B84">
        <v>9.7000000000000003E-2</v>
      </c>
      <c r="C84">
        <v>6.9000000000000006E-2</v>
      </c>
      <c r="D84">
        <v>150</v>
      </c>
      <c r="E84">
        <v>30</v>
      </c>
      <c r="F84">
        <v>60</v>
      </c>
      <c r="G84">
        <v>30</v>
      </c>
      <c r="H84">
        <v>1</v>
      </c>
      <c r="I84">
        <v>1</v>
      </c>
      <c r="L84" t="s">
        <v>231</v>
      </c>
      <c r="M84">
        <v>5.0500000000000003E-2</v>
      </c>
      <c r="N84">
        <v>3.4500000000000003E-2</v>
      </c>
      <c r="O84">
        <v>95</v>
      </c>
      <c r="P84">
        <v>25</v>
      </c>
      <c r="Q84">
        <v>42.5</v>
      </c>
      <c r="R84">
        <v>17.5</v>
      </c>
      <c r="S84">
        <v>0.18625</v>
      </c>
      <c r="T84">
        <v>9.2249999999999999E-2</v>
      </c>
    </row>
    <row r="85" spans="1:20">
      <c r="A85" s="7" t="s">
        <v>220</v>
      </c>
      <c r="B85">
        <v>9.2999999999999999E-2</v>
      </c>
      <c r="C85">
        <v>3.2000000000000001E-2</v>
      </c>
      <c r="D85">
        <v>150</v>
      </c>
      <c r="E85">
        <v>30</v>
      </c>
      <c r="F85">
        <v>60</v>
      </c>
      <c r="G85">
        <v>30</v>
      </c>
      <c r="H85">
        <v>1</v>
      </c>
      <c r="I85">
        <v>1</v>
      </c>
      <c r="L85" t="s">
        <v>232</v>
      </c>
      <c r="M85">
        <v>2.4500000000000001E-2</v>
      </c>
      <c r="N85">
        <v>8.5000000000000006E-3</v>
      </c>
      <c r="O85">
        <v>95</v>
      </c>
      <c r="P85">
        <v>25</v>
      </c>
      <c r="Q85">
        <v>42.5</v>
      </c>
      <c r="R85">
        <v>17.5</v>
      </c>
      <c r="S85">
        <v>0.18625</v>
      </c>
      <c r="T85">
        <v>9.2249999999999999E-2</v>
      </c>
    </row>
    <row r="86" spans="1:20">
      <c r="A86" t="s">
        <v>223</v>
      </c>
      <c r="B86">
        <v>0.11700000000000001</v>
      </c>
      <c r="C86">
        <v>5.5E-2</v>
      </c>
      <c r="D86">
        <v>150</v>
      </c>
      <c r="E86">
        <v>30</v>
      </c>
      <c r="F86">
        <v>60</v>
      </c>
      <c r="G86">
        <v>30</v>
      </c>
      <c r="H86">
        <v>1</v>
      </c>
      <c r="I86">
        <v>1</v>
      </c>
    </row>
    <row r="87" spans="1:20">
      <c r="A87" t="s">
        <v>221</v>
      </c>
      <c r="B87">
        <v>0.11700000000000001</v>
      </c>
      <c r="C87">
        <v>5.5E-2</v>
      </c>
      <c r="D87">
        <v>150</v>
      </c>
      <c r="E87">
        <v>30</v>
      </c>
      <c r="F87">
        <v>60</v>
      </c>
      <c r="G87">
        <v>30</v>
      </c>
      <c r="H87">
        <v>60</v>
      </c>
      <c r="I87">
        <v>30</v>
      </c>
    </row>
    <row r="88" spans="1:20">
      <c r="A88" t="s">
        <v>222</v>
      </c>
      <c r="B88">
        <v>0.11700000000000001</v>
      </c>
      <c r="C88">
        <v>5.5E-2</v>
      </c>
      <c r="D88">
        <v>150</v>
      </c>
      <c r="E88">
        <v>30</v>
      </c>
      <c r="F88">
        <v>60</v>
      </c>
      <c r="G88">
        <v>30</v>
      </c>
      <c r="H88">
        <v>17.5</v>
      </c>
      <c r="I88">
        <v>12.5</v>
      </c>
    </row>
    <row r="89" spans="1:20">
      <c r="A89" t="s">
        <v>224</v>
      </c>
      <c r="B89">
        <v>0.11700000000000001</v>
      </c>
      <c r="C89">
        <v>5.5E-2</v>
      </c>
      <c r="D89">
        <v>150</v>
      </c>
      <c r="E89">
        <v>30</v>
      </c>
      <c r="F89">
        <v>60</v>
      </c>
      <c r="G89">
        <v>30</v>
      </c>
      <c r="H89">
        <v>1</v>
      </c>
      <c r="I89">
        <v>1</v>
      </c>
    </row>
    <row r="93" spans="1:20">
      <c r="A93" s="7" t="s">
        <v>177</v>
      </c>
      <c r="C93">
        <v>1</v>
      </c>
      <c r="D93">
        <v>2</v>
      </c>
      <c r="E93">
        <v>3</v>
      </c>
      <c r="F93">
        <v>4</v>
      </c>
      <c r="G93">
        <v>5</v>
      </c>
      <c r="H93">
        <v>6</v>
      </c>
      <c r="I93">
        <v>7</v>
      </c>
      <c r="J93">
        <v>8</v>
      </c>
      <c r="K93">
        <v>9</v>
      </c>
      <c r="L93">
        <v>10</v>
      </c>
      <c r="M93">
        <v>11</v>
      </c>
      <c r="N93">
        <v>12</v>
      </c>
      <c r="O93">
        <v>13</v>
      </c>
      <c r="P93">
        <v>14</v>
      </c>
    </row>
    <row r="94" spans="1:20" ht="12.75" customHeight="1">
      <c r="A94" s="168" t="s">
        <v>122</v>
      </c>
      <c r="B94" s="7" t="s">
        <v>50</v>
      </c>
      <c r="C94" s="7" t="s">
        <v>26</v>
      </c>
      <c r="D94" s="7" t="s">
        <v>28</v>
      </c>
      <c r="E94" s="7" t="s">
        <v>34</v>
      </c>
      <c r="F94" s="7" t="s">
        <v>27</v>
      </c>
      <c r="G94" s="7" t="s">
        <v>52</v>
      </c>
      <c r="H94" s="7" t="s">
        <v>51</v>
      </c>
      <c r="I94" s="7" t="s">
        <v>53</v>
      </c>
      <c r="J94" s="7" t="s">
        <v>54</v>
      </c>
      <c r="K94" s="7" t="s">
        <v>55</v>
      </c>
      <c r="L94" s="7" t="s">
        <v>56</v>
      </c>
      <c r="M94" s="7" t="s">
        <v>57</v>
      </c>
      <c r="N94" s="7" t="s">
        <v>58</v>
      </c>
      <c r="O94" s="7" t="s">
        <v>59</v>
      </c>
      <c r="P94" s="7" t="s">
        <v>60</v>
      </c>
    </row>
    <row r="95" spans="1:20" ht="12.75" customHeight="1">
      <c r="A95" s="7" t="s">
        <v>105</v>
      </c>
      <c r="B95">
        <v>87.494915254000006</v>
      </c>
      <c r="C95">
        <v>14.505555555999999</v>
      </c>
      <c r="D95">
        <v>-28.455555560000001</v>
      </c>
      <c r="E95">
        <v>6.2888888888999999</v>
      </c>
      <c r="F95">
        <v>-49.25</v>
      </c>
      <c r="G95">
        <v>-6.1124999999999998</v>
      </c>
      <c r="H95">
        <v>3.3125</v>
      </c>
      <c r="I95">
        <v>1.9125000000000001</v>
      </c>
      <c r="J95">
        <v>-4.55</v>
      </c>
      <c r="K95">
        <v>14.6</v>
      </c>
      <c r="L95">
        <v>-6.125</v>
      </c>
      <c r="M95">
        <v>-4.8274011300000002</v>
      </c>
      <c r="N95">
        <v>4.8225988701000002</v>
      </c>
      <c r="O95">
        <v>0.92259887009999997</v>
      </c>
      <c r="P95">
        <v>15.67259887</v>
      </c>
    </row>
    <row r="96" spans="1:20" ht="12.75" customHeight="1">
      <c r="A96" s="7" t="s">
        <v>84</v>
      </c>
      <c r="B96">
        <v>82.848660331000005</v>
      </c>
      <c r="C96">
        <v>9.8470925900000008</v>
      </c>
      <c r="D96">
        <v>-24.893109809999999</v>
      </c>
      <c r="E96">
        <v>2.0624830852999998</v>
      </c>
      <c r="F96">
        <v>-42.54191849</v>
      </c>
      <c r="G96">
        <v>-5.9810071469999997</v>
      </c>
      <c r="H96">
        <v>3.2890939418</v>
      </c>
      <c r="I96">
        <v>-5.9645835000000001E-2</v>
      </c>
      <c r="J96">
        <v>-3.6189820880000001</v>
      </c>
      <c r="K96">
        <v>16.889645830999999</v>
      </c>
      <c r="L96">
        <v>-7.7539374990000001</v>
      </c>
      <c r="M96">
        <v>-7.5746782230000003</v>
      </c>
      <c r="N96">
        <v>3.0292081080000002</v>
      </c>
      <c r="O96">
        <v>0.23637475799999999</v>
      </c>
      <c r="P96">
        <v>16.876541422999999</v>
      </c>
    </row>
    <row r="97" spans="1:16" ht="12.75" customHeight="1">
      <c r="A97" s="7" t="s">
        <v>82</v>
      </c>
      <c r="B97">
        <v>80.391078098999998</v>
      </c>
      <c r="C97">
        <v>15.380074073999999</v>
      </c>
      <c r="D97">
        <v>-19.140143250000001</v>
      </c>
      <c r="E97">
        <v>5.6695668000000003E-3</v>
      </c>
      <c r="F97">
        <v>-24.757709250000001</v>
      </c>
      <c r="G97">
        <v>-7.0297159599999999</v>
      </c>
      <c r="H97">
        <v>1.7830325254999999</v>
      </c>
      <c r="I97">
        <v>0.38225000440000001</v>
      </c>
      <c r="J97">
        <v>-8.5850326730000006</v>
      </c>
      <c r="K97">
        <v>7.8308749993999998</v>
      </c>
      <c r="L97">
        <v>-2.382166663</v>
      </c>
      <c r="M97">
        <v>-13.023198620000001</v>
      </c>
      <c r="N97">
        <v>2.7539896355</v>
      </c>
      <c r="O97">
        <v>-0.80151034399999999</v>
      </c>
      <c r="P97">
        <v>9.3966563005000001</v>
      </c>
    </row>
    <row r="98" spans="1:16" ht="12.75" customHeight="1">
      <c r="A98" s="7" t="s">
        <v>226</v>
      </c>
      <c r="B98">
        <v>82.877201228000004</v>
      </c>
      <c r="C98">
        <v>3.2460531717999999</v>
      </c>
      <c r="D98">
        <v>-22.571928440000001</v>
      </c>
      <c r="E98">
        <v>-1.953681671</v>
      </c>
      <c r="F98">
        <v>-15.812452260000001</v>
      </c>
      <c r="G98">
        <v>-2.540138834</v>
      </c>
      <c r="H98">
        <v>1.4491383927000001</v>
      </c>
      <c r="I98">
        <v>1.2688852088</v>
      </c>
      <c r="J98">
        <v>0.59784312900000003</v>
      </c>
      <c r="K98">
        <v>4.9491893465999999</v>
      </c>
      <c r="L98">
        <v>-1.7662515080000001</v>
      </c>
      <c r="M98">
        <v>5.1945823608000001</v>
      </c>
      <c r="N98">
        <v>2.5749497494</v>
      </c>
      <c r="O98">
        <v>0.56484177950000003</v>
      </c>
      <c r="P98">
        <v>-5.3321824480000002</v>
      </c>
    </row>
    <row r="99" spans="1:16" ht="12.75" customHeight="1">
      <c r="A99" s="7" t="s">
        <v>85</v>
      </c>
      <c r="B99">
        <v>71.079884258000007</v>
      </c>
      <c r="C99">
        <v>6.4082777782999996</v>
      </c>
      <c r="D99">
        <v>-17.777817590000002</v>
      </c>
      <c r="E99">
        <v>-0.98415714499999996</v>
      </c>
      <c r="F99">
        <v>-8.4957730950000006</v>
      </c>
      <c r="G99">
        <v>-4.1465082009999996</v>
      </c>
      <c r="H99">
        <v>0.83243316479999996</v>
      </c>
      <c r="I99">
        <v>1.1640416675</v>
      </c>
      <c r="J99">
        <v>0.37712830060000002</v>
      </c>
      <c r="K99">
        <v>-1.0905</v>
      </c>
      <c r="L99">
        <v>-1.5370416659999999</v>
      </c>
      <c r="M99">
        <v>-2.4764746529999999</v>
      </c>
      <c r="N99">
        <v>3.6690338955000001</v>
      </c>
      <c r="O99">
        <v>-0.67229943400000003</v>
      </c>
      <c r="P99">
        <v>-3.4717994339999998</v>
      </c>
    </row>
    <row r="100" spans="1:16" ht="12.75" customHeight="1">
      <c r="A100" s="7" t="s">
        <v>94</v>
      </c>
      <c r="B100">
        <v>71.184694915999998</v>
      </c>
      <c r="C100">
        <v>10.061814816</v>
      </c>
      <c r="D100">
        <v>-17.170314820000002</v>
      </c>
      <c r="E100">
        <v>0.82242592439999995</v>
      </c>
      <c r="F100">
        <v>-12.48901852</v>
      </c>
      <c r="G100">
        <v>-6.5178541680000004</v>
      </c>
      <c r="H100">
        <v>-1.728770836</v>
      </c>
      <c r="I100">
        <v>1.8056875019</v>
      </c>
      <c r="J100">
        <v>-1.596854169</v>
      </c>
      <c r="K100">
        <v>1.0687708356000001</v>
      </c>
      <c r="L100">
        <v>0.83968750309999995</v>
      </c>
      <c r="M100">
        <v>-1.456199622</v>
      </c>
      <c r="N100">
        <v>3.1029670427</v>
      </c>
      <c r="O100">
        <v>-2.1966996220000001</v>
      </c>
      <c r="P100">
        <v>0.36696704270000002</v>
      </c>
    </row>
    <row r="101" spans="1:16" ht="12.75" customHeight="1">
      <c r="A101" s="7" t="s">
        <v>123</v>
      </c>
      <c r="B101">
        <v>85.604962314000005</v>
      </c>
      <c r="C101">
        <v>9.5838055571999998</v>
      </c>
      <c r="D101">
        <v>-22.16106126</v>
      </c>
      <c r="E101">
        <v>-0.56746907899999999</v>
      </c>
      <c r="F101">
        <v>-38.673677099999999</v>
      </c>
      <c r="G101">
        <v>-6.5188862460000001</v>
      </c>
      <c r="H101">
        <v>2.0607291963000001</v>
      </c>
      <c r="I101">
        <v>4.1763437519000002</v>
      </c>
      <c r="J101">
        <v>-1.110815476</v>
      </c>
      <c r="K101">
        <v>10.960260411</v>
      </c>
      <c r="L101">
        <v>-2.9471979190000002</v>
      </c>
      <c r="M101">
        <v>-6.716207603</v>
      </c>
      <c r="N101">
        <v>0.1304496168</v>
      </c>
      <c r="O101">
        <v>-2.8350503680000001</v>
      </c>
      <c r="P101">
        <v>14.278949617</v>
      </c>
    </row>
    <row r="102" spans="1:16" ht="12.75" customHeight="1">
      <c r="A102" s="7" t="s">
        <v>124</v>
      </c>
      <c r="B102">
        <v>80.832058699000001</v>
      </c>
      <c r="C102">
        <v>9.1461851856000003</v>
      </c>
      <c r="D102">
        <v>-17.193490409999999</v>
      </c>
      <c r="E102">
        <v>-1.663129579</v>
      </c>
      <c r="F102">
        <v>-29.163700800000001</v>
      </c>
      <c r="G102">
        <v>-6.2031256849999998</v>
      </c>
      <c r="H102">
        <v>1.1153396083</v>
      </c>
      <c r="I102">
        <v>2.2329583337000001</v>
      </c>
      <c r="J102">
        <v>-3.0049678000000002</v>
      </c>
      <c r="K102">
        <v>7.0658333300000002</v>
      </c>
      <c r="L102">
        <v>-1.683041666</v>
      </c>
      <c r="M102">
        <v>-6.3633298849999997</v>
      </c>
      <c r="N102">
        <v>0.91810169070000003</v>
      </c>
      <c r="O102">
        <v>-4.6213983040000004</v>
      </c>
      <c r="P102">
        <v>7.9517683607</v>
      </c>
    </row>
    <row r="103" spans="1:16" ht="12.75" customHeight="1">
      <c r="A103" s="7" t="s">
        <v>227</v>
      </c>
      <c r="B103">
        <v>49.643717948634503</v>
      </c>
      <c r="C103">
        <v>5.6294930226840343</v>
      </c>
      <c r="D103">
        <v>-29.91410223580311</v>
      </c>
      <c r="E103">
        <v>3.2343288148053331</v>
      </c>
      <c r="F103">
        <v>-16.91153318373409</v>
      </c>
      <c r="G103">
        <v>-3.1225334701239058</v>
      </c>
      <c r="H103">
        <v>2.1777344625119719</v>
      </c>
      <c r="I103">
        <v>0.86904519122709978</v>
      </c>
      <c r="J103">
        <v>1.57677475024949</v>
      </c>
      <c r="K103">
        <v>6.1589653958006227</v>
      </c>
      <c r="L103">
        <v>-3.7439432839707738</v>
      </c>
      <c r="M103">
        <v>2.2268074090599548</v>
      </c>
      <c r="N103">
        <v>6.5405384896987897</v>
      </c>
      <c r="O103">
        <v>2.7763412461663979</v>
      </c>
      <c r="P103">
        <v>49.643717948634567</v>
      </c>
    </row>
    <row r="104" spans="1:16" ht="12.75" customHeight="1">
      <c r="A104" s="7" t="s">
        <v>90</v>
      </c>
      <c r="B104">
        <v>119.45347458000001</v>
      </c>
      <c r="C104">
        <v>-10.187185189999999</v>
      </c>
      <c r="D104">
        <v>-54.719666670000002</v>
      </c>
      <c r="E104">
        <v>21.508518518999999</v>
      </c>
      <c r="F104">
        <v>-52.89233333</v>
      </c>
      <c r="G104">
        <v>3.4273333333</v>
      </c>
      <c r="H104">
        <v>-1.829166667</v>
      </c>
      <c r="I104">
        <v>-12.08825</v>
      </c>
      <c r="J104">
        <v>14.614958333000001</v>
      </c>
      <c r="K104">
        <v>28.336208332999998</v>
      </c>
      <c r="L104">
        <v>-20.24145833</v>
      </c>
      <c r="M104">
        <v>3.7447796609999999</v>
      </c>
      <c r="N104">
        <v>15.786779661000001</v>
      </c>
      <c r="O104">
        <v>0.98177966100000003</v>
      </c>
      <c r="P104">
        <v>7.3041129943999996</v>
      </c>
    </row>
    <row r="105" spans="1:16" ht="12.75" customHeight="1">
      <c r="A105" s="7" t="s">
        <v>169</v>
      </c>
      <c r="B105">
        <v>127.19018078000001</v>
      </c>
      <c r="C105">
        <v>-13.25509259</v>
      </c>
      <c r="D105">
        <v>-57.612962969999998</v>
      </c>
      <c r="E105">
        <v>17.342740738</v>
      </c>
      <c r="F105">
        <v>-56.943574069999997</v>
      </c>
      <c r="G105">
        <v>6.3485624999999999</v>
      </c>
      <c r="H105">
        <v>-3.402020834</v>
      </c>
      <c r="I105">
        <v>-9.1231875010000003</v>
      </c>
      <c r="J105">
        <v>23.840479163000001</v>
      </c>
      <c r="K105">
        <v>33.349645838000001</v>
      </c>
      <c r="L105">
        <v>-16.267354170000001</v>
      </c>
      <c r="M105">
        <v>-16.081821999999999</v>
      </c>
      <c r="N105">
        <v>16.305011301</v>
      </c>
      <c r="O105">
        <v>2.3866779510999998</v>
      </c>
      <c r="P105">
        <v>17.420177950999999</v>
      </c>
    </row>
    <row r="106" spans="1:16" ht="12.75" customHeight="1">
      <c r="A106" s="7" t="s">
        <v>139</v>
      </c>
      <c r="B106">
        <v>46.640208204208797</v>
      </c>
      <c r="C106">
        <v>-2.029009779924106</v>
      </c>
      <c r="D106">
        <v>-25.325856070781189</v>
      </c>
      <c r="E106">
        <v>2.469634464668188</v>
      </c>
      <c r="F106">
        <v>-13.257364867075889</v>
      </c>
      <c r="G106">
        <v>1.492123019856247</v>
      </c>
      <c r="H106">
        <v>-2.3891386199746361</v>
      </c>
      <c r="I106">
        <v>1.9122559586833019</v>
      </c>
      <c r="J106">
        <v>1.4588147848779831</v>
      </c>
      <c r="K106">
        <v>5.983571182921283</v>
      </c>
      <c r="L106">
        <v>-3.5762773413812088</v>
      </c>
      <c r="M106">
        <v>-4.5644974390566286</v>
      </c>
      <c r="N106">
        <v>5.4713417732860643</v>
      </c>
      <c r="O106">
        <v>-1.792751608764966</v>
      </c>
      <c r="P106">
        <v>46.640208204208882</v>
      </c>
    </row>
    <row r="107" spans="1:16" ht="12.75" customHeight="1">
      <c r="A107" s="7" t="s">
        <v>142</v>
      </c>
      <c r="B107">
        <v>75.652333333000001</v>
      </c>
      <c r="C107">
        <v>0</v>
      </c>
      <c r="D107">
        <v>-28.418858329999999</v>
      </c>
      <c r="E107">
        <v>1.0641750000000001</v>
      </c>
      <c r="F107">
        <v>-26.52804167</v>
      </c>
      <c r="G107">
        <v>0</v>
      </c>
      <c r="H107">
        <v>0</v>
      </c>
      <c r="I107">
        <v>-1.3158624999999999</v>
      </c>
      <c r="J107">
        <v>0</v>
      </c>
      <c r="K107">
        <v>11.885574999999999</v>
      </c>
      <c r="L107">
        <v>-1.856304167</v>
      </c>
      <c r="M107">
        <v>0</v>
      </c>
      <c r="N107">
        <v>2.3082875</v>
      </c>
      <c r="O107">
        <v>-6.9483332999999994E-2</v>
      </c>
      <c r="P107">
        <v>11.743287499999999</v>
      </c>
    </row>
    <row r="108" spans="1:16" ht="12.75" customHeight="1">
      <c r="A108" s="7" t="s">
        <v>134</v>
      </c>
      <c r="B108">
        <v>167.61828440565901</v>
      </c>
      <c r="C108">
        <v>-10.4984517968544</v>
      </c>
      <c r="D108">
        <v>-125.388963883865</v>
      </c>
      <c r="E108">
        <v>49.7118255951831</v>
      </c>
      <c r="F108">
        <v>0</v>
      </c>
      <c r="G108">
        <v>13.318392298281999</v>
      </c>
      <c r="H108">
        <v>-9.4376185562385899</v>
      </c>
      <c r="I108">
        <v>-52.882576334308297</v>
      </c>
      <c r="J108">
        <v>0</v>
      </c>
      <c r="K108">
        <v>0</v>
      </c>
      <c r="L108">
        <v>0</v>
      </c>
      <c r="M108">
        <v>4.5908133905232997</v>
      </c>
      <c r="N108">
        <v>78.265559056639603</v>
      </c>
      <c r="O108">
        <v>-1.48141146188175</v>
      </c>
      <c r="P108">
        <v>0</v>
      </c>
    </row>
    <row r="109" spans="1:16" ht="12.75" customHeight="1">
      <c r="A109" s="7" t="s">
        <v>135</v>
      </c>
      <c r="B109">
        <v>175.437853461016</v>
      </c>
      <c r="C109">
        <v>-18.604492435082701</v>
      </c>
      <c r="D109">
        <v>-151.66774900489901</v>
      </c>
      <c r="E109">
        <v>70.556458262799694</v>
      </c>
      <c r="F109">
        <v>0</v>
      </c>
      <c r="G109">
        <v>2.7155700978615802</v>
      </c>
      <c r="H109">
        <v>-7.8762212419532496</v>
      </c>
      <c r="I109">
        <v>-74.253007909080907</v>
      </c>
      <c r="J109">
        <v>0</v>
      </c>
      <c r="K109">
        <v>0</v>
      </c>
      <c r="L109">
        <v>0</v>
      </c>
      <c r="M109">
        <v>13.647920648344201</v>
      </c>
      <c r="N109">
        <v>95.736095360620695</v>
      </c>
      <c r="O109">
        <v>3.3012443665850499</v>
      </c>
      <c r="P109">
        <v>0</v>
      </c>
    </row>
    <row r="110" spans="1:16" ht="12.75" customHeight="1">
      <c r="A110" s="7" t="s">
        <v>215</v>
      </c>
      <c r="B110">
        <v>62.310935567601227</v>
      </c>
      <c r="C110">
        <v>-10.81880709919276</v>
      </c>
      <c r="D110">
        <v>-59.759351522206543</v>
      </c>
      <c r="E110">
        <v>29.746095613131271</v>
      </c>
      <c r="F110">
        <v>-62.310935567601121</v>
      </c>
      <c r="G110">
        <v>5.2494076250847019</v>
      </c>
      <c r="H110">
        <v>-5.8560752289414184</v>
      </c>
      <c r="I110">
        <v>-47.793689083768058</v>
      </c>
      <c r="J110">
        <v>10.818807099192741</v>
      </c>
      <c r="K110">
        <v>59.759351522206501</v>
      </c>
      <c r="L110">
        <v>-29.746095613131299</v>
      </c>
      <c r="M110">
        <v>4.8090657469191136</v>
      </c>
      <c r="N110">
        <v>38.780486690888573</v>
      </c>
      <c r="O110">
        <v>7.0922131767404686</v>
      </c>
      <c r="P110">
        <v>62.310935567601121</v>
      </c>
    </row>
    <row r="111" spans="1:16" ht="12.75" customHeight="1">
      <c r="A111" s="7" t="s">
        <v>214</v>
      </c>
      <c r="B111">
        <v>57.976637775811689</v>
      </c>
      <c r="C111">
        <v>-2.0734698988064699</v>
      </c>
      <c r="D111">
        <v>-45.441512570791858</v>
      </c>
      <c r="E111">
        <v>13.59421862592008</v>
      </c>
      <c r="F111">
        <v>-11.619792451298871</v>
      </c>
      <c r="G111">
        <v>-2.258097774270313</v>
      </c>
      <c r="H111">
        <v>-2.0197684271027612</v>
      </c>
      <c r="I111">
        <v>-8.2028465192228559</v>
      </c>
      <c r="J111">
        <v>0.73648184539082928</v>
      </c>
      <c r="K111">
        <v>3.7648788905665378</v>
      </c>
      <c r="L111">
        <v>-1.5832634106035799</v>
      </c>
      <c r="M111">
        <v>3.4975716560159049</v>
      </c>
      <c r="N111">
        <v>11.25891031776322</v>
      </c>
      <c r="O111">
        <v>-1.789783942919416</v>
      </c>
      <c r="P111">
        <v>57.976637775811781</v>
      </c>
    </row>
    <row r="112" spans="1:16" ht="12.75" customHeight="1">
      <c r="A112" s="7" t="s">
        <v>218</v>
      </c>
      <c r="B112">
        <v>61.021623506968318</v>
      </c>
      <c r="C112">
        <v>-15.496465056600311</v>
      </c>
      <c r="D112">
        <v>-54.157610847936077</v>
      </c>
      <c r="E112">
        <v>15.788574547014329</v>
      </c>
      <c r="F112">
        <v>-61.021623506968147</v>
      </c>
      <c r="G112">
        <v>41.303644980048738</v>
      </c>
      <c r="H112">
        <v>-39.072124750281297</v>
      </c>
      <c r="I112">
        <v>-43.080596731818467</v>
      </c>
      <c r="J112">
        <v>15.496465056600281</v>
      </c>
      <c r="K112">
        <v>54.157610847935928</v>
      </c>
      <c r="L112">
        <v>-15.788574547014351</v>
      </c>
      <c r="M112">
        <v>-10.0232288914184</v>
      </c>
      <c r="N112">
        <v>55.510215858981113</v>
      </c>
      <c r="O112">
        <v>-18.796917547333901</v>
      </c>
      <c r="P112">
        <v>61.021623506968183</v>
      </c>
    </row>
    <row r="113" spans="1:16" ht="12.75" customHeight="1">
      <c r="A113" s="7" t="s">
        <v>220</v>
      </c>
      <c r="B113">
        <v>57.738680282102592</v>
      </c>
      <c r="C113">
        <v>-9.2931032395911082</v>
      </c>
      <c r="D113">
        <v>-52.916688427075563</v>
      </c>
      <c r="E113">
        <v>32.594748145848897</v>
      </c>
      <c r="F113">
        <v>-57.738680282102592</v>
      </c>
      <c r="G113">
        <v>4.709412138370725</v>
      </c>
      <c r="H113">
        <v>14.936415430088649</v>
      </c>
      <c r="I113">
        <v>-16.155754944880179</v>
      </c>
      <c r="J113">
        <v>9.2931032395910975</v>
      </c>
      <c r="K113">
        <v>52.916688427075549</v>
      </c>
      <c r="L113">
        <v>-32.594748145848897</v>
      </c>
      <c r="M113">
        <v>29.564570891947259</v>
      </c>
      <c r="N113">
        <v>18.162892790040779</v>
      </c>
      <c r="O113">
        <v>6.1170705684392548</v>
      </c>
      <c r="P113">
        <v>57.738680282102578</v>
      </c>
    </row>
    <row r="114" spans="1:16" ht="12.75" customHeight="1">
      <c r="A114" s="166" t="s">
        <v>223</v>
      </c>
      <c r="B114">
        <v>36.650928351531178</v>
      </c>
      <c r="C114">
        <v>-8.473460094930978</v>
      </c>
      <c r="D114">
        <v>-43.049310878419092</v>
      </c>
      <c r="E114">
        <v>20.552071143498129</v>
      </c>
      <c r="F114">
        <v>-36.650928351531157</v>
      </c>
      <c r="G114">
        <v>-14.154916132917791</v>
      </c>
      <c r="H114">
        <v>24.329776021606321</v>
      </c>
      <c r="I114">
        <v>-10.223637563413609</v>
      </c>
      <c r="J114">
        <v>8.4734600949309851</v>
      </c>
      <c r="K114">
        <v>43.049310878419021</v>
      </c>
      <c r="L114">
        <v>-20.552071143498122</v>
      </c>
      <c r="M114">
        <v>-22.133664439351961</v>
      </c>
      <c r="N114">
        <v>36.650928351531157</v>
      </c>
      <c r="O114">
        <v>45.727442460132437</v>
      </c>
      <c r="P114">
        <v>36.650928351531149</v>
      </c>
    </row>
    <row r="115" spans="1:16" ht="12.75" customHeight="1">
      <c r="A115" s="166" t="s">
        <v>221</v>
      </c>
      <c r="B115">
        <v>70.890797395350702</v>
      </c>
      <c r="C115">
        <v>4.5932404515611278</v>
      </c>
      <c r="D115">
        <v>-26.948099610840039</v>
      </c>
      <c r="E115">
        <v>3.5711620106721802</v>
      </c>
      <c r="F115">
        <v>-17.580421587223931</v>
      </c>
      <c r="G115">
        <v>0.17231642890655571</v>
      </c>
      <c r="H115">
        <v>1.124183126640532</v>
      </c>
      <c r="I115">
        <v>-1.3242036035345599</v>
      </c>
      <c r="J115">
        <v>2.6470098942372449</v>
      </c>
      <c r="K115">
        <v>7.182512809074316</v>
      </c>
      <c r="L115">
        <v>-3.0948510001675489</v>
      </c>
      <c r="M115">
        <v>2.5819850213582192</v>
      </c>
      <c r="N115">
        <v>7.8470238918356916</v>
      </c>
      <c r="O115">
        <v>0.37469829269536409</v>
      </c>
      <c r="P115">
        <v>8.1143159841650103</v>
      </c>
    </row>
    <row r="116" spans="1:16" ht="12.75" customHeight="1">
      <c r="A116" s="166" t="s">
        <v>222</v>
      </c>
      <c r="B116">
        <v>53.477084965823181</v>
      </c>
      <c r="C116">
        <v>-5.0183562001740096</v>
      </c>
      <c r="D116">
        <v>-42.334683911320248</v>
      </c>
      <c r="E116">
        <v>6.6054321854365634</v>
      </c>
      <c r="F116">
        <v>-6.0190092009448044</v>
      </c>
      <c r="G116">
        <v>0.33488750053492827</v>
      </c>
      <c r="H116">
        <v>-5.5431283273308516</v>
      </c>
      <c r="I116">
        <v>-4.8282128182400674</v>
      </c>
      <c r="J116">
        <v>-2.4251266477514211</v>
      </c>
      <c r="K116">
        <v>2.4418051176241531</v>
      </c>
      <c r="L116">
        <v>1.071114953104024</v>
      </c>
      <c r="M116">
        <v>-3.8554669431319319</v>
      </c>
      <c r="N116">
        <v>7.47085116187331</v>
      </c>
      <c r="O116">
        <v>-2.0098408698795991</v>
      </c>
      <c r="P116">
        <v>53.477084965823202</v>
      </c>
    </row>
    <row r="117" spans="1:16" ht="12.75" customHeight="1">
      <c r="A117" s="166" t="s">
        <v>224</v>
      </c>
      <c r="B117">
        <v>50.508739889360577</v>
      </c>
      <c r="C117">
        <v>-15.8007680525794</v>
      </c>
      <c r="D117">
        <v>-55.08129570728574</v>
      </c>
      <c r="E117">
        <v>23.96308810928954</v>
      </c>
      <c r="F117">
        <v>-50.508739889360577</v>
      </c>
      <c r="G117">
        <v>15.39330757184428</v>
      </c>
      <c r="H117">
        <v>-13.85242203502651</v>
      </c>
      <c r="I117">
        <v>-48.002928775915173</v>
      </c>
      <c r="J117">
        <v>15.8007680525794</v>
      </c>
      <c r="K117">
        <v>55.081295707285733</v>
      </c>
      <c r="L117">
        <v>-23.963088109289519</v>
      </c>
      <c r="M117">
        <v>-1.7650711622474871</v>
      </c>
      <c r="N117">
        <v>42.206625655722519</v>
      </c>
      <c r="O117">
        <v>7.8162719007010208</v>
      </c>
      <c r="P117">
        <v>50.508739889360577</v>
      </c>
    </row>
    <row r="118" spans="1:16" ht="12.75" customHeight="1">
      <c r="A118" s="165"/>
    </row>
    <row r="119" spans="1:16" ht="12.75" customHeight="1">
      <c r="A119" s="165"/>
    </row>
    <row r="120" spans="1:16" ht="12.75" customHeight="1">
      <c r="A120" s="166"/>
      <c r="B120" s="7"/>
      <c r="C120" s="7"/>
      <c r="D120" s="7"/>
      <c r="E120" s="7"/>
      <c r="F120" s="7"/>
      <c r="G120" s="7"/>
      <c r="H120" s="7"/>
      <c r="I120" s="7"/>
      <c r="J120" s="7"/>
      <c r="K120" s="7"/>
      <c r="L120" s="7"/>
      <c r="M120" s="7"/>
      <c r="N120" s="7"/>
      <c r="O120" s="7"/>
    </row>
    <row r="121" spans="1:16" ht="12.75" customHeight="1">
      <c r="A121" s="166" t="s">
        <v>178</v>
      </c>
      <c r="B121" s="7"/>
      <c r="C121" s="7"/>
      <c r="D121" s="7"/>
      <c r="E121" s="7"/>
      <c r="F121" s="7"/>
      <c r="G121" s="7"/>
      <c r="H121" s="7"/>
      <c r="I121" s="7"/>
      <c r="J121" s="7"/>
      <c r="K121" s="7"/>
      <c r="L121" s="7"/>
      <c r="M121" s="7"/>
      <c r="N121" s="7"/>
      <c r="O121" s="7"/>
    </row>
    <row r="122" spans="1:16" ht="12.75" customHeight="1">
      <c r="A122" s="166" t="s">
        <v>122</v>
      </c>
      <c r="B122" s="7" t="s">
        <v>50</v>
      </c>
      <c r="C122" s="7" t="s">
        <v>26</v>
      </c>
      <c r="D122" s="7" t="s">
        <v>28</v>
      </c>
      <c r="E122" s="7" t="s">
        <v>34</v>
      </c>
      <c r="F122" s="7" t="s">
        <v>27</v>
      </c>
      <c r="G122" s="7" t="s">
        <v>52</v>
      </c>
      <c r="H122" s="7" t="s">
        <v>51</v>
      </c>
      <c r="I122" s="7" t="s">
        <v>53</v>
      </c>
      <c r="J122" s="7" t="s">
        <v>54</v>
      </c>
      <c r="K122" s="7" t="s">
        <v>55</v>
      </c>
      <c r="L122" s="7" t="s">
        <v>56</v>
      </c>
      <c r="M122" s="7" t="s">
        <v>57</v>
      </c>
      <c r="N122" s="7" t="s">
        <v>58</v>
      </c>
      <c r="O122" s="7" t="s">
        <v>59</v>
      </c>
      <c r="P122" t="s">
        <v>60</v>
      </c>
    </row>
    <row r="123" spans="1:16" ht="12.75" customHeight="1">
      <c r="A123" s="166" t="s">
        <v>105</v>
      </c>
      <c r="B123" s="7">
        <v>258.69988418999998</v>
      </c>
      <c r="C123" s="7">
        <v>57.219527767000002</v>
      </c>
      <c r="D123" s="7">
        <v>-82.685601849999998</v>
      </c>
      <c r="E123" s="7">
        <v>-33.176453709999997</v>
      </c>
      <c r="F123" s="7">
        <v>-72.429231490000006</v>
      </c>
      <c r="G123" s="7">
        <v>-40.457552079999999</v>
      </c>
      <c r="H123" s="7">
        <v>-11.802427079999999</v>
      </c>
      <c r="I123" s="7">
        <v>37.850822919000002</v>
      </c>
      <c r="J123" s="7">
        <v>-17.932572919999998</v>
      </c>
      <c r="K123" s="7">
        <v>12.095510406000001</v>
      </c>
      <c r="L123" s="7">
        <v>16.185968756000001</v>
      </c>
      <c r="M123" s="7">
        <v>-6.7902537509999998</v>
      </c>
      <c r="N123" s="7">
        <v>3.6039128992</v>
      </c>
      <c r="O123" s="7">
        <v>-28.724753799999998</v>
      </c>
      <c r="P123">
        <v>23.654746248999999</v>
      </c>
    </row>
    <row r="124" spans="1:16" ht="12.75" customHeight="1">
      <c r="A124" s="166" t="s">
        <v>84</v>
      </c>
      <c r="B124" s="7">
        <v>219.12739164999999</v>
      </c>
      <c r="C124" s="7">
        <v>36.285201852</v>
      </c>
      <c r="D124" s="7">
        <v>-41.842876590000003</v>
      </c>
      <c r="E124" s="7">
        <v>-13.736255529999999</v>
      </c>
      <c r="F124" s="7">
        <v>-37.047663659999998</v>
      </c>
      <c r="G124" s="7">
        <v>-21.530683960000001</v>
      </c>
      <c r="H124" s="7">
        <v>4.0173029249000001</v>
      </c>
      <c r="I124" s="7">
        <v>14.43611875</v>
      </c>
      <c r="J124" s="7">
        <v>-23.019587569999999</v>
      </c>
      <c r="K124" s="7">
        <v>6.6914604167</v>
      </c>
      <c r="L124" s="7">
        <v>-11.33164375</v>
      </c>
      <c r="M124" s="7">
        <v>-12.438357849999999</v>
      </c>
      <c r="N124" s="7">
        <v>-7.5354300380000003</v>
      </c>
      <c r="O124" s="7">
        <v>-4.5033300379999996</v>
      </c>
      <c r="P124">
        <v>-12.81926337</v>
      </c>
    </row>
    <row r="125" spans="1:16" ht="12.75" customHeight="1">
      <c r="A125" s="166" t="s">
        <v>82</v>
      </c>
      <c r="B125" s="7">
        <v>178.30550661000001</v>
      </c>
      <c r="C125" s="7">
        <v>31.730058332999999</v>
      </c>
      <c r="D125" s="7">
        <v>-22.989153309999999</v>
      </c>
      <c r="E125" s="7">
        <v>-8.8091884240000002</v>
      </c>
      <c r="F125" s="7">
        <v>-28.1366163</v>
      </c>
      <c r="G125" s="7">
        <v>-3.1650008789999999</v>
      </c>
      <c r="H125" s="7">
        <v>-0.65992471100000005</v>
      </c>
      <c r="I125" s="7">
        <v>9.5428614583000009</v>
      </c>
      <c r="J125" s="7">
        <v>-24.87200352</v>
      </c>
      <c r="K125" s="7">
        <v>6.4700385417000001</v>
      </c>
      <c r="L125" s="7">
        <v>-1.9501385419999999</v>
      </c>
      <c r="M125" s="7">
        <v>-19.45153406</v>
      </c>
      <c r="N125" s="7">
        <v>-15.403025469999999</v>
      </c>
      <c r="O125" s="7">
        <v>2.9759745292000002</v>
      </c>
      <c r="P125">
        <v>-13.2493588</v>
      </c>
    </row>
    <row r="126" spans="1:16" ht="12.75" customHeight="1">
      <c r="A126" s="166" t="s">
        <v>90</v>
      </c>
      <c r="B126" s="7">
        <v>354.88618437000002</v>
      </c>
      <c r="C126" s="7">
        <v>-9.4741959310000006</v>
      </c>
      <c r="D126" s="7">
        <v>-100.8257945</v>
      </c>
      <c r="E126" s="7">
        <v>12.201183862000001</v>
      </c>
      <c r="F126" s="7">
        <v>-46.759955220000002</v>
      </c>
      <c r="G126" s="7">
        <v>-12.1579633</v>
      </c>
      <c r="H126" s="7">
        <v>-9.1156269919999993</v>
      </c>
      <c r="I126" s="7">
        <v>19.811365419000001</v>
      </c>
      <c r="J126" s="7">
        <v>22.014426490999998</v>
      </c>
      <c r="K126" s="7">
        <v>19.407127595999999</v>
      </c>
      <c r="L126" s="7">
        <v>22.078526797999999</v>
      </c>
      <c r="M126" s="7">
        <v>-68.146898780000001</v>
      </c>
      <c r="N126" s="7">
        <v>11.685526127999999</v>
      </c>
      <c r="O126" s="7">
        <v>-0.87149278500000005</v>
      </c>
      <c r="P126">
        <v>35.620339487999999</v>
      </c>
    </row>
    <row r="127" spans="1:16" ht="12.75" customHeight="1">
      <c r="A127" s="166" t="s">
        <v>123</v>
      </c>
      <c r="B127" s="7">
        <v>219.20897685</v>
      </c>
      <c r="C127" s="7">
        <v>38.115369377999997</v>
      </c>
      <c r="D127" s="7">
        <v>-38.785145329999999</v>
      </c>
      <c r="E127" s="7">
        <v>-10.92782128</v>
      </c>
      <c r="F127" s="7">
        <v>-14.29929997</v>
      </c>
      <c r="G127" s="7">
        <v>-25.092717109999999</v>
      </c>
      <c r="H127" s="7">
        <v>-43.245127170000004</v>
      </c>
      <c r="I127" s="7">
        <v>-10.702779339999999</v>
      </c>
      <c r="J127" s="7">
        <v>3.5065187508000002</v>
      </c>
      <c r="K127" s="7">
        <v>-11.18570738</v>
      </c>
      <c r="L127" s="7">
        <v>-2.869774042</v>
      </c>
      <c r="M127" s="7">
        <v>-22.697671830000001</v>
      </c>
      <c r="N127" s="7">
        <v>-10.65752221</v>
      </c>
      <c r="O127" s="7">
        <v>15.88926026</v>
      </c>
      <c r="P127">
        <v>8.2585727861000002</v>
      </c>
    </row>
    <row r="128" spans="1:16" ht="12.75" customHeight="1">
      <c r="A128" s="166" t="s">
        <v>124</v>
      </c>
      <c r="B128" s="7">
        <v>189.07713974000001</v>
      </c>
      <c r="C128" s="7">
        <v>30.132222042999999</v>
      </c>
      <c r="D128" s="7">
        <v>-25.726811059999999</v>
      </c>
      <c r="E128" s="7">
        <v>-22.6996027</v>
      </c>
      <c r="F128" s="7">
        <v>-4.219383884</v>
      </c>
      <c r="G128" s="7">
        <v>-20.843215659999998</v>
      </c>
      <c r="H128" s="7">
        <v>-14.94350195</v>
      </c>
      <c r="I128" s="7">
        <v>4.2240993062000003</v>
      </c>
      <c r="J128" s="7">
        <v>-6.4095804669999996</v>
      </c>
      <c r="K128" s="7">
        <v>-14.51498683</v>
      </c>
      <c r="L128" s="7">
        <v>4.7881798402999998</v>
      </c>
      <c r="M128" s="7">
        <v>-12.59829678</v>
      </c>
      <c r="N128" s="7">
        <v>-19.780609890000001</v>
      </c>
      <c r="O128" s="7">
        <v>10.044568744999999</v>
      </c>
      <c r="P128">
        <v>11.011434073</v>
      </c>
    </row>
    <row r="129" spans="1:17" ht="12.75" customHeight="1">
      <c r="A129" s="166" t="s">
        <v>169</v>
      </c>
      <c r="B129" s="7">
        <v>316.08281751999999</v>
      </c>
      <c r="C129" s="7">
        <v>-101.975301</v>
      </c>
      <c r="D129" s="7">
        <v>-121.21044449999999</v>
      </c>
      <c r="E129" s="7">
        <v>-2.455156809</v>
      </c>
      <c r="F129" s="7">
        <v>-36.226984999999999</v>
      </c>
      <c r="G129" s="7">
        <v>42.995068990999997</v>
      </c>
      <c r="H129" s="7">
        <v>23.348156685999999</v>
      </c>
      <c r="I129" s="7">
        <v>58.246345474999998</v>
      </c>
      <c r="J129" s="7">
        <v>46.273730489999998</v>
      </c>
      <c r="K129" s="7">
        <v>57.356959672000002</v>
      </c>
      <c r="L129" s="7">
        <v>18.198888279999998</v>
      </c>
      <c r="M129" s="7">
        <v>42.044449989</v>
      </c>
      <c r="N129" s="7">
        <v>3.2826697731999999</v>
      </c>
      <c r="O129" s="7">
        <v>22.889918481999999</v>
      </c>
      <c r="P129">
        <v>-7.9825318239999996</v>
      </c>
    </row>
    <row r="130" spans="1:17" ht="12.75" customHeight="1">
      <c r="A130" s="166" t="s">
        <v>170</v>
      </c>
      <c r="B130" s="7">
        <v>376.36729872000001</v>
      </c>
      <c r="C130" s="7">
        <v>-62.13697621</v>
      </c>
      <c r="D130" s="7">
        <v>-151.3552238</v>
      </c>
      <c r="E130" s="7">
        <v>0.53951963219999999</v>
      </c>
      <c r="F130" s="7">
        <v>-69.704727700000007</v>
      </c>
      <c r="G130" s="7">
        <v>52.031225368999998</v>
      </c>
      <c r="H130" s="7">
        <v>11.403026509</v>
      </c>
      <c r="I130" s="7">
        <v>54.603344141999997</v>
      </c>
      <c r="J130" s="7">
        <v>67.991261250999997</v>
      </c>
      <c r="K130" s="7">
        <v>16.717210360999999</v>
      </c>
      <c r="L130" s="7">
        <v>15.185752298000001</v>
      </c>
      <c r="M130" s="7">
        <v>34.212435266999996</v>
      </c>
      <c r="N130" s="7">
        <v>2.9389484453999999</v>
      </c>
      <c r="O130" s="7">
        <v>-32.138333209999999</v>
      </c>
      <c r="P130">
        <v>53.503067164000001</v>
      </c>
    </row>
    <row r="131" spans="1:17" ht="12.75" customHeight="1">
      <c r="A131" s="166" t="s">
        <v>227</v>
      </c>
      <c r="B131" s="7">
        <v>216.90589137000001</v>
      </c>
      <c r="C131" s="7">
        <v>29.836997265000001</v>
      </c>
      <c r="D131" s="7">
        <v>-89.382815669999999</v>
      </c>
      <c r="E131" s="7">
        <v>-7.9128323680000001</v>
      </c>
      <c r="F131" s="7">
        <v>-25.876392110000001</v>
      </c>
      <c r="G131" s="7">
        <v>-31.1212433</v>
      </c>
      <c r="H131" s="7">
        <v>5.8000046598999999</v>
      </c>
      <c r="I131" s="7">
        <v>24.070275976000001</v>
      </c>
      <c r="J131" s="7">
        <v>-12.139906119999999</v>
      </c>
      <c r="K131" s="7">
        <v>-0.203251495</v>
      </c>
      <c r="L131" s="7">
        <v>5.5320436729000004</v>
      </c>
      <c r="M131" s="7">
        <v>-12.789234220000001</v>
      </c>
      <c r="N131" s="7">
        <v>4.8510360390000002</v>
      </c>
      <c r="O131" s="7">
        <v>8.7056610635999991</v>
      </c>
      <c r="P131">
        <v>0</v>
      </c>
    </row>
    <row r="132" spans="1:17" ht="12.75" customHeight="1">
      <c r="A132" s="166" t="s">
        <v>139</v>
      </c>
      <c r="B132" s="7">
        <v>182.06525558999999</v>
      </c>
      <c r="C132" s="7">
        <v>-9.400924303</v>
      </c>
      <c r="D132" s="7">
        <v>-68.675917830000003</v>
      </c>
      <c r="E132" s="7">
        <v>-20.519885290000001</v>
      </c>
      <c r="F132" s="7">
        <v>-15.05034064</v>
      </c>
      <c r="G132" s="7">
        <v>17.607124328000001</v>
      </c>
      <c r="H132" s="7">
        <v>0.37072525010000001</v>
      </c>
      <c r="I132" s="7">
        <v>36.312050567999997</v>
      </c>
      <c r="J132" s="7">
        <v>-20.575839989999999</v>
      </c>
      <c r="K132" s="7">
        <v>-10.23873262</v>
      </c>
      <c r="L132" s="7">
        <v>-8.3894038319999993</v>
      </c>
      <c r="M132" s="7">
        <v>-29.752386959999999</v>
      </c>
      <c r="N132" s="7">
        <v>8.9682000179999992</v>
      </c>
      <c r="O132" s="7">
        <v>26.432029630999999</v>
      </c>
      <c r="P132" s="7">
        <v>0</v>
      </c>
      <c r="Q132" s="7"/>
    </row>
    <row r="133" spans="1:17" ht="12.75" customHeight="1">
      <c r="A133" s="166" t="s">
        <v>226</v>
      </c>
      <c r="B133" s="7">
        <v>155.70223203</v>
      </c>
      <c r="C133" s="7">
        <v>15.176918015</v>
      </c>
      <c r="D133" s="7">
        <v>-55.05954569</v>
      </c>
      <c r="E133" s="7">
        <v>-7.3332759589999998</v>
      </c>
      <c r="F133" s="7">
        <v>-35.8510031</v>
      </c>
      <c r="G133" s="7">
        <v>-7.8857826810000002</v>
      </c>
      <c r="H133" s="7">
        <v>-3.8931175539999998</v>
      </c>
      <c r="I133" s="7">
        <v>7.9703470279999999</v>
      </c>
      <c r="J133" s="7">
        <v>-10.50766235</v>
      </c>
      <c r="K133" s="7">
        <v>9.3877475137000008</v>
      </c>
      <c r="L133" s="7">
        <v>4.3142451194999998</v>
      </c>
      <c r="M133" s="7">
        <v>3.8580331016999998</v>
      </c>
      <c r="N133" s="7">
        <v>-8.2828669339999994</v>
      </c>
      <c r="O133" s="7">
        <v>6.4787962534999997</v>
      </c>
      <c r="P133" s="7">
        <v>18.987240198999999</v>
      </c>
      <c r="Q133" s="7"/>
    </row>
    <row r="134" spans="1:17" ht="12.75" customHeight="1">
      <c r="A134" s="166" t="s">
        <v>85</v>
      </c>
      <c r="B134" s="7">
        <v>141.29401050000001</v>
      </c>
      <c r="C134" s="7">
        <v>9.0150116331000003</v>
      </c>
      <c r="D134" s="7">
        <v>-13.048221979999999</v>
      </c>
      <c r="E134" s="7">
        <v>-21.89044389</v>
      </c>
      <c r="F134" s="7">
        <v>-0.29610029700000001</v>
      </c>
      <c r="G134" s="7">
        <v>2.0591266200999998</v>
      </c>
      <c r="H134" s="7">
        <v>4.7770278741999999</v>
      </c>
      <c r="I134" s="7">
        <v>5.3677525841999998</v>
      </c>
      <c r="J134" s="7">
        <v>6.8301330482999996</v>
      </c>
      <c r="K134" s="7">
        <v>-13.194511520000001</v>
      </c>
      <c r="L134" s="7">
        <v>-5.9717884239999997</v>
      </c>
      <c r="M134" s="7">
        <v>-44.928675239999997</v>
      </c>
      <c r="N134" s="7">
        <v>-21.640095169999999</v>
      </c>
      <c r="O134" s="7">
        <v>23.987667326</v>
      </c>
      <c r="P134" s="7">
        <v>14.408904804000001</v>
      </c>
      <c r="Q134" s="7"/>
    </row>
    <row r="135" spans="1:17" ht="12.75" customHeight="1">
      <c r="A135" s="166" t="s">
        <v>94</v>
      </c>
      <c r="B135" s="7">
        <v>114.58040139000001</v>
      </c>
      <c r="C135" s="7">
        <v>21.127969237999999</v>
      </c>
      <c r="D135" s="7">
        <v>-11.216792570000001</v>
      </c>
      <c r="E135" s="7">
        <v>-9.4581046769999997</v>
      </c>
      <c r="F135" s="7">
        <v>-4.9367973330000003</v>
      </c>
      <c r="G135" s="7">
        <v>-2.1706066669999999</v>
      </c>
      <c r="H135" s="7">
        <v>-2.703258076</v>
      </c>
      <c r="I135" s="7">
        <v>3.6624164078999999</v>
      </c>
      <c r="J135" s="7">
        <v>-1.2045983</v>
      </c>
      <c r="K135" s="7">
        <v>-2.4608748550000001</v>
      </c>
      <c r="L135" s="7">
        <v>3.0117500701000002</v>
      </c>
      <c r="M135" s="7">
        <v>-2.2836698489999998</v>
      </c>
      <c r="N135" s="7">
        <v>-6.9932106000000003</v>
      </c>
      <c r="O135" s="7">
        <v>7.1223791698000003</v>
      </c>
      <c r="P135" s="7">
        <v>4.9723595833000003</v>
      </c>
      <c r="Q135" s="7"/>
    </row>
    <row r="136" spans="1:17" ht="12.75" customHeight="1">
      <c r="A136" s="166" t="s">
        <v>223</v>
      </c>
      <c r="B136" s="7">
        <v>417.59520658999998</v>
      </c>
      <c r="C136" s="7">
        <v>-38.555915419999998</v>
      </c>
      <c r="D136" s="7">
        <v>-171.04695609999999</v>
      </c>
      <c r="E136" s="7">
        <v>-4.3782199049999999</v>
      </c>
      <c r="F136" s="7">
        <v>0</v>
      </c>
      <c r="G136" s="7">
        <v>6.0470186309000002</v>
      </c>
      <c r="H136" s="7">
        <v>53.021421085</v>
      </c>
      <c r="I136" s="7">
        <v>15.573319578</v>
      </c>
      <c r="J136" s="7">
        <v>0</v>
      </c>
      <c r="K136" s="7">
        <v>0</v>
      </c>
      <c r="L136" s="7">
        <v>0</v>
      </c>
      <c r="M136" s="7">
        <v>-73.947027869999999</v>
      </c>
      <c r="N136" s="7">
        <v>58.740670921000003</v>
      </c>
      <c r="O136" s="7">
        <v>-40.606152440000002</v>
      </c>
      <c r="P136" s="7">
        <v>0</v>
      </c>
      <c r="Q136" s="7"/>
    </row>
    <row r="137" spans="1:17" ht="12.75" customHeight="1">
      <c r="A137" s="166" t="s">
        <v>220</v>
      </c>
      <c r="B137" s="7">
        <v>498.02388568999999</v>
      </c>
      <c r="C137" s="7">
        <v>-119.5143909</v>
      </c>
      <c r="D137" s="7">
        <v>-363.94619560000001</v>
      </c>
      <c r="E137" s="7">
        <v>71.740019851</v>
      </c>
      <c r="F137" s="7">
        <v>0</v>
      </c>
      <c r="G137" s="7">
        <v>85.065709690000006</v>
      </c>
      <c r="H137" s="7">
        <v>-19.391350710000001</v>
      </c>
      <c r="I137" s="7">
        <v>-22.886802079999999</v>
      </c>
      <c r="J137" s="7">
        <v>0</v>
      </c>
      <c r="K137" s="7">
        <v>0</v>
      </c>
      <c r="L137" s="7">
        <v>0</v>
      </c>
      <c r="M137" s="7">
        <v>43.503716023999999</v>
      </c>
      <c r="N137" s="7">
        <v>169.96931617999999</v>
      </c>
      <c r="O137" s="7">
        <v>-67.718183819999993</v>
      </c>
      <c r="P137" s="7">
        <v>0</v>
      </c>
      <c r="Q137" s="7"/>
    </row>
    <row r="138" spans="1:17" ht="12.75" customHeight="1">
      <c r="A138" s="166" t="s">
        <v>171</v>
      </c>
      <c r="B138" s="7">
        <v>171.93911610000001</v>
      </c>
      <c r="C138" s="7">
        <v>18.545332407</v>
      </c>
      <c r="D138" s="7">
        <v>-15.88783241</v>
      </c>
      <c r="E138" s="7">
        <v>-4.414769444</v>
      </c>
      <c r="F138" s="7">
        <v>-2.7343620369999999</v>
      </c>
      <c r="G138" s="7">
        <v>-5.4097177079999996</v>
      </c>
      <c r="H138" s="7">
        <v>-3.9961885420000001</v>
      </c>
      <c r="I138" s="7">
        <v>2.6306052083</v>
      </c>
      <c r="J138" s="7">
        <v>-1.9837093750000001</v>
      </c>
      <c r="K138" s="7">
        <v>-15.19816563</v>
      </c>
      <c r="L138" s="7">
        <v>3.4434468749999998</v>
      </c>
      <c r="M138" s="7">
        <v>-6.2029132300000001</v>
      </c>
      <c r="N138" s="7">
        <v>-26.895079899999999</v>
      </c>
      <c r="O138" s="7">
        <v>-0.61907989600000002</v>
      </c>
      <c r="P138" s="7">
        <v>-19.03691323</v>
      </c>
      <c r="Q138" s="7"/>
    </row>
    <row r="139" spans="1:17" ht="12.75" customHeight="1">
      <c r="A139" s="7" t="s">
        <v>221</v>
      </c>
      <c r="B139">
        <v>161.02535677517611</v>
      </c>
      <c r="C139">
        <v>9.3258674450861321</v>
      </c>
      <c r="D139">
        <v>-59.351134155861629</v>
      </c>
      <c r="E139">
        <v>-1.054648225295016</v>
      </c>
      <c r="F139">
        <v>-32.899483700934432</v>
      </c>
      <c r="G139">
        <v>4.9389317056138822</v>
      </c>
      <c r="H139">
        <v>13.980231231531929</v>
      </c>
      <c r="I139">
        <v>19.742676623258241</v>
      </c>
      <c r="J139">
        <v>-8.1249782585738863</v>
      </c>
      <c r="K139">
        <v>6.4698507775800209</v>
      </c>
      <c r="L139">
        <v>-8.322635415964168</v>
      </c>
      <c r="M139">
        <v>15.513562406660411</v>
      </c>
      <c r="N139">
        <v>8.3532676542198416</v>
      </c>
      <c r="O139">
        <v>-3.8885100259217542</v>
      </c>
      <c r="P139">
        <v>6.2242877523118629</v>
      </c>
      <c r="Q139" s="7"/>
    </row>
    <row r="140" spans="1:17" ht="12.75" customHeight="1">
      <c r="A140" s="166" t="s">
        <v>231</v>
      </c>
      <c r="B140" s="7">
        <v>292.71632263999999</v>
      </c>
      <c r="C140" s="7">
        <v>-72.549050350000002</v>
      </c>
      <c r="D140" s="7">
        <v>-187.61570399999999</v>
      </c>
      <c r="E140" s="7">
        <v>25.401703136999998</v>
      </c>
      <c r="F140" s="7">
        <v>45.827743523000002</v>
      </c>
      <c r="G140" s="7">
        <v>65.547881703000002</v>
      </c>
      <c r="H140" s="7">
        <v>-28.294084560000002</v>
      </c>
      <c r="I140" s="7">
        <v>-25.193316549999999</v>
      </c>
      <c r="J140" s="7">
        <v>-34.503734289999997</v>
      </c>
      <c r="K140" s="7">
        <v>-33.668442149999997</v>
      </c>
      <c r="L140" s="7">
        <v>20.394076175999999</v>
      </c>
      <c r="M140" s="7">
        <v>-22.28168058</v>
      </c>
      <c r="N140" s="7">
        <v>78.639901617999996</v>
      </c>
      <c r="O140" s="7">
        <v>45.418607545999997</v>
      </c>
      <c r="P140" s="7">
        <v>-25.082556570000001</v>
      </c>
      <c r="Q140" s="7"/>
    </row>
    <row r="141" spans="1:17" ht="12.75" customHeight="1">
      <c r="A141" s="166" t="s">
        <v>232</v>
      </c>
      <c r="B141" s="7">
        <v>338.02649615000001</v>
      </c>
      <c r="C141" s="7">
        <v>-33.697419789999998</v>
      </c>
      <c r="D141" s="7">
        <v>-204.70470359999999</v>
      </c>
      <c r="E141" s="7">
        <v>34.627105002999997</v>
      </c>
      <c r="F141" s="7">
        <v>0.51632434329999999</v>
      </c>
      <c r="G141" s="7">
        <v>-2.752452661</v>
      </c>
      <c r="H141" s="7">
        <v>-24.86360354</v>
      </c>
      <c r="I141" s="7">
        <v>-31.150612379999998</v>
      </c>
      <c r="J141" s="7">
        <v>6.2682943885000002</v>
      </c>
      <c r="K141" s="7">
        <v>-10.149979829999999</v>
      </c>
      <c r="L141" s="7">
        <v>-5.2401024920000001</v>
      </c>
      <c r="M141" s="7">
        <v>-9.7140542550000006</v>
      </c>
      <c r="N141" s="7">
        <v>65.056957706999995</v>
      </c>
      <c r="O141" s="7">
        <v>-6.7703868600000003</v>
      </c>
      <c r="P141" s="7">
        <v>10.041006361999999</v>
      </c>
      <c r="Q141" s="7"/>
    </row>
    <row r="142" spans="1:17" ht="12.75" customHeight="1">
      <c r="A142" s="166"/>
      <c r="B142" s="7"/>
      <c r="C142" s="7"/>
      <c r="D142" s="7"/>
      <c r="E142" s="7"/>
      <c r="F142" s="7"/>
      <c r="G142" s="7"/>
      <c r="H142" s="7"/>
      <c r="I142" s="7"/>
      <c r="J142" s="7"/>
      <c r="K142" s="7"/>
      <c r="L142" s="7"/>
      <c r="M142" s="7"/>
      <c r="N142" s="7"/>
      <c r="O142" s="7"/>
      <c r="P142" s="7"/>
      <c r="Q142" s="7"/>
    </row>
    <row r="143" spans="1:17" ht="12.75" customHeight="1">
      <c r="A143" s="166"/>
      <c r="B143" s="7"/>
      <c r="C143" s="7"/>
      <c r="D143" s="7"/>
      <c r="E143" s="7"/>
      <c r="F143" s="7"/>
      <c r="G143" s="7"/>
      <c r="H143" s="7"/>
      <c r="I143" s="7"/>
      <c r="J143" s="7"/>
      <c r="K143" s="7"/>
      <c r="L143" s="7"/>
      <c r="M143" s="7"/>
      <c r="N143" s="7"/>
      <c r="O143" s="7"/>
      <c r="P143" s="7"/>
      <c r="Q143" s="7"/>
    </row>
    <row r="144" spans="1:17" ht="12.75" customHeight="1">
      <c r="A144" s="166"/>
      <c r="B144" s="7"/>
      <c r="C144" s="7"/>
      <c r="D144" s="7"/>
      <c r="E144" s="7"/>
      <c r="F144" s="7"/>
      <c r="G144" s="7"/>
      <c r="H144" s="7"/>
      <c r="I144" s="7"/>
      <c r="J144" s="7"/>
      <c r="K144" s="7"/>
      <c r="L144" s="7"/>
      <c r="M144" s="7"/>
      <c r="N144" s="7"/>
      <c r="O144" s="7"/>
      <c r="P144" s="7"/>
      <c r="Q144" s="7"/>
    </row>
    <row r="145" spans="1:28" ht="12.75" customHeight="1">
      <c r="A145" s="165"/>
    </row>
    <row r="146" spans="1:28" ht="12.75" customHeight="1">
      <c r="A146" s="165"/>
    </row>
    <row r="147" spans="1:28" ht="12.75" customHeight="1">
      <c r="A147" s="165"/>
    </row>
    <row r="148" spans="1:28" ht="12.75" customHeight="1">
      <c r="A148" s="165"/>
    </row>
    <row r="149" spans="1:28" s="7" customFormat="1" ht="12.75" customHeight="1">
      <c r="A149" s="164" t="s">
        <v>179</v>
      </c>
    </row>
    <row r="150" spans="1:28" s="7" customFormat="1" ht="15">
      <c r="A150" s="164" t="s">
        <v>122</v>
      </c>
      <c r="B150" s="7" t="s">
        <v>50</v>
      </c>
      <c r="C150" s="7" t="s">
        <v>26</v>
      </c>
      <c r="D150" s="7" t="s">
        <v>28</v>
      </c>
      <c r="E150" s="7" t="s">
        <v>34</v>
      </c>
      <c r="F150" s="7" t="s">
        <v>27</v>
      </c>
      <c r="G150" s="7" t="s">
        <v>52</v>
      </c>
      <c r="H150" s="7" t="s">
        <v>51</v>
      </c>
      <c r="I150" s="7" t="s">
        <v>53</v>
      </c>
      <c r="J150" s="7" t="s">
        <v>54</v>
      </c>
      <c r="K150" s="7" t="s">
        <v>55</v>
      </c>
      <c r="L150" s="7" t="s">
        <v>56</v>
      </c>
      <c r="M150" s="7" t="s">
        <v>57</v>
      </c>
      <c r="N150" s="7" t="s">
        <v>58</v>
      </c>
      <c r="O150" s="7" t="s">
        <v>59</v>
      </c>
      <c r="P150" s="7" t="s">
        <v>60</v>
      </c>
    </row>
    <row r="151" spans="1:28" s="7" customFormat="1">
      <c r="A151" s="7" t="s">
        <v>105</v>
      </c>
      <c r="B151">
        <v>217.38305084999999</v>
      </c>
      <c r="C151">
        <v>34.122222221999998</v>
      </c>
      <c r="D151">
        <v>-62.211111109999997</v>
      </c>
      <c r="E151">
        <v>12.2</v>
      </c>
      <c r="F151">
        <v>-104.9611111</v>
      </c>
      <c r="G151">
        <v>-16.7</v>
      </c>
      <c r="H151">
        <v>8.9875000000000007</v>
      </c>
      <c r="I151">
        <v>1.5375000000000001</v>
      </c>
      <c r="J151">
        <v>-17.7</v>
      </c>
      <c r="K151">
        <v>35.774999999999999</v>
      </c>
      <c r="L151">
        <v>-20.737500000000001</v>
      </c>
      <c r="M151">
        <v>-6.3468926550000004</v>
      </c>
      <c r="N151">
        <v>13.253107345</v>
      </c>
      <c r="O151">
        <v>1.2531073446000001</v>
      </c>
      <c r="P151">
        <v>28.403107344999999</v>
      </c>
    </row>
    <row r="152" spans="1:28" s="7" customFormat="1">
      <c r="A152" s="7" t="s">
        <v>84</v>
      </c>
      <c r="B152">
        <v>208.43403287000001</v>
      </c>
      <c r="C152">
        <v>30.961425935000001</v>
      </c>
      <c r="D152">
        <v>-57.697165130000002</v>
      </c>
      <c r="E152">
        <v>6.0939372790000004</v>
      </c>
      <c r="F152">
        <v>-93.133010709999994</v>
      </c>
      <c r="G152">
        <v>-16.711410489999999</v>
      </c>
      <c r="H152">
        <v>9.1006634914000006</v>
      </c>
      <c r="I152">
        <v>-0.34900000199999998</v>
      </c>
      <c r="J152">
        <v>-13.478376559999999</v>
      </c>
      <c r="K152">
        <v>33.788249997999998</v>
      </c>
      <c r="L152">
        <v>-18.142166660000001</v>
      </c>
      <c r="M152">
        <v>-20.366259800000002</v>
      </c>
      <c r="N152">
        <v>10.175744796</v>
      </c>
      <c r="O152">
        <v>-1.9590885039999999</v>
      </c>
      <c r="P152">
        <v>35.384744845999997</v>
      </c>
    </row>
    <row r="153" spans="1:28" s="7" customFormat="1">
      <c r="A153" s="7" t="s">
        <v>82</v>
      </c>
      <c r="B153">
        <v>198.73514287</v>
      </c>
      <c r="C153">
        <v>40.907833334999999</v>
      </c>
      <c r="D153">
        <v>-41.15219441</v>
      </c>
      <c r="E153">
        <v>0.27029172359999998</v>
      </c>
      <c r="F153">
        <v>-53.593439250000003</v>
      </c>
      <c r="G153">
        <v>-16.124496529999998</v>
      </c>
      <c r="H153">
        <v>4.8200907634999997</v>
      </c>
      <c r="I153">
        <v>2.9197708268999998</v>
      </c>
      <c r="J153">
        <v>-21.86734512</v>
      </c>
      <c r="K153">
        <v>13.451437498000001</v>
      </c>
      <c r="L153">
        <v>-4.9291041729999998</v>
      </c>
      <c r="M153">
        <v>-29.747040269999999</v>
      </c>
      <c r="N153">
        <v>5.9512184928999998</v>
      </c>
      <c r="O153">
        <v>-2.7307815569999998</v>
      </c>
      <c r="P153">
        <v>17.852551793</v>
      </c>
      <c r="T153"/>
      <c r="U153"/>
      <c r="V153"/>
      <c r="W153"/>
      <c r="X153"/>
      <c r="Y153"/>
      <c r="Z153"/>
      <c r="AA153"/>
      <c r="AB153"/>
    </row>
    <row r="154" spans="1:28" s="7" customFormat="1">
      <c r="A154" s="7" t="s">
        <v>226</v>
      </c>
      <c r="B154">
        <v>198.77925529999999</v>
      </c>
      <c r="C154" s="7">
        <v>16.367491422000001</v>
      </c>
      <c r="D154" s="7">
        <v>-52.6884686</v>
      </c>
      <c r="E154" s="7">
        <v>1.9102673149</v>
      </c>
      <c r="F154" s="7">
        <v>-35.600409980000002</v>
      </c>
      <c r="G154" s="7">
        <v>-8.4508384089999993</v>
      </c>
      <c r="H154" s="7">
        <v>2.8141469956999998</v>
      </c>
      <c r="I154" s="7">
        <v>-0.92612386800000002</v>
      </c>
      <c r="J154" s="7">
        <v>0.17243305519999999</v>
      </c>
      <c r="K154" s="7">
        <v>10.71232423</v>
      </c>
      <c r="L154" s="7">
        <v>-4.6576996829999997</v>
      </c>
      <c r="M154" s="7">
        <v>1.4505102004999999</v>
      </c>
      <c r="N154" s="7">
        <v>8.9316969544999996</v>
      </c>
      <c r="O154" s="7">
        <v>1.0120970241</v>
      </c>
      <c r="P154" s="7">
        <v>-3.840227246</v>
      </c>
    </row>
    <row r="155" spans="1:28" s="7" customFormat="1">
      <c r="A155" s="7" t="s">
        <v>85</v>
      </c>
      <c r="B155">
        <v>179.45388348</v>
      </c>
      <c r="C155">
        <v>23.301574086999999</v>
      </c>
      <c r="D155">
        <v>-35.55823255</v>
      </c>
      <c r="E155">
        <v>-2.027162809</v>
      </c>
      <c r="F155">
        <v>-18.690193539999999</v>
      </c>
      <c r="G155">
        <v>-11.821317970000001</v>
      </c>
      <c r="H155">
        <v>-0.55392316500000005</v>
      </c>
      <c r="I155">
        <v>3.4291458438000002</v>
      </c>
      <c r="J155">
        <v>3.7223074030999999</v>
      </c>
      <c r="K155">
        <v>-0.28939583499999999</v>
      </c>
      <c r="L155">
        <v>-2.1973958310000001</v>
      </c>
      <c r="M155">
        <v>-14.565854290000001</v>
      </c>
      <c r="N155">
        <v>4.3920376415</v>
      </c>
      <c r="O155">
        <v>-0.89796230899999996</v>
      </c>
      <c r="P155">
        <v>-8.3191290089999992</v>
      </c>
    </row>
    <row r="156" spans="1:28" s="7" customFormat="1">
      <c r="A156" s="7" t="s">
        <v>94</v>
      </c>
      <c r="B156">
        <v>176.94510733000001</v>
      </c>
      <c r="C156">
        <v>27.351351867999998</v>
      </c>
      <c r="D156">
        <v>-37.03585185</v>
      </c>
      <c r="E156">
        <v>1.7993148128000001</v>
      </c>
      <c r="F156">
        <v>-27.829370359999999</v>
      </c>
      <c r="G156">
        <v>-13.512833329999999</v>
      </c>
      <c r="H156">
        <v>-3.0333750080000002</v>
      </c>
      <c r="I156">
        <v>4.5241249956000003</v>
      </c>
      <c r="J156">
        <v>-3.7212500039999998</v>
      </c>
      <c r="K156">
        <v>1.5206666669</v>
      </c>
      <c r="L156">
        <v>1.3641249955999999</v>
      </c>
      <c r="M156">
        <v>-10.71856968</v>
      </c>
      <c r="N156">
        <v>4.0172636657999998</v>
      </c>
      <c r="O156">
        <v>-3.990569684</v>
      </c>
      <c r="P156">
        <v>-0.365736334</v>
      </c>
    </row>
    <row r="157" spans="1:28" s="7" customFormat="1">
      <c r="A157" s="7" t="s">
        <v>123</v>
      </c>
      <c r="B157">
        <v>223.09979292</v>
      </c>
      <c r="C157">
        <v>39.613916668000002</v>
      </c>
      <c r="D157">
        <v>-52.048733939999998</v>
      </c>
      <c r="E157">
        <v>2.7981742856</v>
      </c>
      <c r="F157">
        <v>-80.800582890000001</v>
      </c>
      <c r="G157">
        <v>-18.293641780000002</v>
      </c>
      <c r="H157">
        <v>3.1661266778999999</v>
      </c>
      <c r="I157">
        <v>6.7144687519000001</v>
      </c>
      <c r="J157">
        <v>-11.79494423</v>
      </c>
      <c r="K157">
        <v>20.869218748000002</v>
      </c>
      <c r="L157">
        <v>-9.8551979230000004</v>
      </c>
      <c r="M157">
        <v>-27.791864919999998</v>
      </c>
      <c r="N157">
        <v>3.3159957375000002</v>
      </c>
      <c r="O157">
        <v>-7.1113375620000001</v>
      </c>
      <c r="P157">
        <v>24.209829087999999</v>
      </c>
    </row>
    <row r="158" spans="1:28" s="7" customFormat="1">
      <c r="A158" s="7" t="s">
        <v>124</v>
      </c>
      <c r="B158">
        <v>206.79402132999999</v>
      </c>
      <c r="C158">
        <v>36.078703707000003</v>
      </c>
      <c r="D158">
        <v>-40.268132860000001</v>
      </c>
      <c r="E158">
        <v>-2.2977066580000001</v>
      </c>
      <c r="F158">
        <v>-60.082646310000001</v>
      </c>
      <c r="G158">
        <v>-15.153072359999999</v>
      </c>
      <c r="H158">
        <v>2.6012930438000001</v>
      </c>
      <c r="I158">
        <v>6.3497708418999999</v>
      </c>
      <c r="J158">
        <v>-13.82010116</v>
      </c>
      <c r="K158">
        <v>12.069479154</v>
      </c>
      <c r="L158">
        <v>-4.9169791710000004</v>
      </c>
      <c r="M158">
        <v>-27.619252960000001</v>
      </c>
      <c r="N158">
        <v>5.3175452100999996</v>
      </c>
      <c r="O158">
        <v>-8.3007881399999999</v>
      </c>
      <c r="P158">
        <v>12.740711859999999</v>
      </c>
    </row>
    <row r="159" spans="1:28" s="7" customFormat="1" ht="13.5" customHeight="1">
      <c r="A159" s="7" t="s">
        <v>227</v>
      </c>
      <c r="B159">
        <v>119.1642567096104</v>
      </c>
      <c r="C159">
        <v>23.632146436739141</v>
      </c>
      <c r="D159">
        <v>-70.994981862846871</v>
      </c>
      <c r="E159">
        <v>19.504513036758681</v>
      </c>
      <c r="F159">
        <v>-46.341671525229351</v>
      </c>
      <c r="G159">
        <v>-6.5295939346769938</v>
      </c>
      <c r="H159">
        <v>10.53931465460356</v>
      </c>
      <c r="I159">
        <v>1.3941072429778509</v>
      </c>
      <c r="J159">
        <v>-0.62729840354798938</v>
      </c>
      <c r="K159">
        <v>15.03679578579762</v>
      </c>
      <c r="L159">
        <v>-14.46392210830755</v>
      </c>
      <c r="M159">
        <v>3.999061485130984</v>
      </c>
      <c r="N159">
        <v>20.217247160434301</v>
      </c>
      <c r="O159">
        <v>13.816800261998431</v>
      </c>
      <c r="P159">
        <v>119.1642567096105</v>
      </c>
    </row>
    <row r="160" spans="1:28" s="7" customFormat="1">
      <c r="A160" s="7" t="s">
        <v>90</v>
      </c>
      <c r="B160">
        <v>291.09035311000002</v>
      </c>
      <c r="C160">
        <v>-14.87280556</v>
      </c>
      <c r="D160">
        <v>-127.54806480000001</v>
      </c>
      <c r="E160">
        <v>59.550120370000002</v>
      </c>
      <c r="F160">
        <v>-123.687713</v>
      </c>
      <c r="G160">
        <v>7.43434375</v>
      </c>
      <c r="H160">
        <v>-8.5687395829999993</v>
      </c>
      <c r="I160">
        <v>-37.510927080000002</v>
      </c>
      <c r="J160">
        <v>27.652302082999999</v>
      </c>
      <c r="K160">
        <v>64.702447917000001</v>
      </c>
      <c r="L160">
        <v>-53.626302080000002</v>
      </c>
      <c r="M160">
        <v>7.1775324858999996</v>
      </c>
      <c r="N160">
        <v>39.118699153000001</v>
      </c>
      <c r="O160">
        <v>2.8443658192000001</v>
      </c>
      <c r="P160">
        <v>18.815199152999998</v>
      </c>
    </row>
    <row r="161" spans="1:16" s="7" customFormat="1">
      <c r="A161" s="7" t="s">
        <v>169</v>
      </c>
      <c r="B161">
        <v>316.82802822999997</v>
      </c>
      <c r="C161">
        <v>-18.516666669999999</v>
      </c>
      <c r="D161">
        <v>-131.23861110000001</v>
      </c>
      <c r="E161">
        <v>46.8677037</v>
      </c>
      <c r="F161">
        <v>-123.7915556</v>
      </c>
      <c r="G161">
        <v>11.724083338</v>
      </c>
      <c r="H161">
        <v>-9.7309999999999999</v>
      </c>
      <c r="I161">
        <v>-26.868291679999999</v>
      </c>
      <c r="J161">
        <v>39.621541663000002</v>
      </c>
      <c r="K161">
        <v>68.337416662999999</v>
      </c>
      <c r="L161">
        <v>-39.459083329999999</v>
      </c>
      <c r="M161">
        <v>-34.770310719999998</v>
      </c>
      <c r="N161">
        <v>37.875855928999997</v>
      </c>
      <c r="O161">
        <v>1.0886892791</v>
      </c>
      <c r="P161">
        <v>34.036355929000003</v>
      </c>
    </row>
    <row r="162" spans="1:16" s="7" customFormat="1">
      <c r="A162" s="7" t="s">
        <v>139</v>
      </c>
      <c r="B162">
        <v>109.91933819559461</v>
      </c>
      <c r="C162">
        <v>2.9605450914204332</v>
      </c>
      <c r="D162">
        <v>-57.702850220211971</v>
      </c>
      <c r="E162">
        <v>8.8578361753926647</v>
      </c>
      <c r="F162">
        <v>-26.470575708297051</v>
      </c>
      <c r="G162">
        <v>0.65413743072834452</v>
      </c>
      <c r="H162">
        <v>-2.369365047509338</v>
      </c>
      <c r="I162">
        <v>1.9863857057230321</v>
      </c>
      <c r="J162">
        <v>1.83695447324667</v>
      </c>
      <c r="K162">
        <v>11.556571267333499</v>
      </c>
      <c r="L162">
        <v>-7.583500331546011</v>
      </c>
      <c r="M162">
        <v>-10.943376136044581</v>
      </c>
      <c r="N162">
        <v>14.33836303359621</v>
      </c>
      <c r="O162">
        <v>-4.7465089317908831</v>
      </c>
      <c r="P162">
        <v>109.9193381955948</v>
      </c>
    </row>
    <row r="163" spans="1:16" s="7" customFormat="1">
      <c r="A163" s="7" t="s">
        <v>142</v>
      </c>
      <c r="B163">
        <v>187.66</v>
      </c>
      <c r="C163">
        <v>0</v>
      </c>
      <c r="D163">
        <v>-62.628900000000002</v>
      </c>
      <c r="E163">
        <v>2.7915000000000001</v>
      </c>
      <c r="F163">
        <v>-61.240900000000003</v>
      </c>
      <c r="G163">
        <v>0</v>
      </c>
      <c r="H163">
        <v>0</v>
      </c>
      <c r="I163">
        <v>-2.6969833329999999</v>
      </c>
      <c r="J163">
        <v>0</v>
      </c>
      <c r="K163" s="7">
        <v>26.700933332999998</v>
      </c>
      <c r="L163" s="7">
        <v>-5.9061833330000004</v>
      </c>
      <c r="M163">
        <v>0</v>
      </c>
      <c r="N163" s="7">
        <v>5.3273833333000002</v>
      </c>
      <c r="O163" s="7">
        <v>1.3803000000000001</v>
      </c>
      <c r="P163">
        <v>27.344216667000001</v>
      </c>
    </row>
    <row r="164" spans="1:16" s="7" customFormat="1">
      <c r="A164" s="7" t="s">
        <v>134</v>
      </c>
      <c r="B164">
        <v>404.573766106937</v>
      </c>
      <c r="C164">
        <v>-5.0488126302450196</v>
      </c>
      <c r="D164">
        <v>-265.43756554348897</v>
      </c>
      <c r="E164">
        <v>102.864908311752</v>
      </c>
      <c r="F164">
        <v>0</v>
      </c>
      <c r="G164">
        <v>17.956842144421401</v>
      </c>
      <c r="H164">
        <v>-21.160706677971099</v>
      </c>
      <c r="I164">
        <v>-100.259798205726</v>
      </c>
      <c r="J164">
        <v>0</v>
      </c>
      <c r="K164">
        <v>0</v>
      </c>
      <c r="L164">
        <v>0</v>
      </c>
      <c r="M164">
        <v>-1.3739823882621001</v>
      </c>
      <c r="N164">
        <v>163.24393983569601</v>
      </c>
      <c r="O164">
        <v>-10.6237390716259</v>
      </c>
      <c r="P164">
        <v>0</v>
      </c>
    </row>
    <row r="165" spans="1:16" s="7" customFormat="1">
      <c r="A165" s="7" t="s">
        <v>135</v>
      </c>
      <c r="B165">
        <v>428.62194659184001</v>
      </c>
      <c r="C165">
        <v>-10.1350094433009</v>
      </c>
      <c r="D165">
        <v>-311.376545850333</v>
      </c>
      <c r="E165">
        <v>145.917638911788</v>
      </c>
      <c r="F165">
        <v>0</v>
      </c>
      <c r="G165">
        <v>-6.0388031276306897</v>
      </c>
      <c r="H165">
        <v>-13.151177708373099</v>
      </c>
      <c r="I165">
        <v>-144.18533920162</v>
      </c>
      <c r="J165">
        <v>0</v>
      </c>
      <c r="K165">
        <v>0</v>
      </c>
      <c r="L165">
        <v>0</v>
      </c>
      <c r="M165">
        <v>3.2117709467689299</v>
      </c>
      <c r="N165">
        <v>200.46559033173099</v>
      </c>
      <c r="O165">
        <v>-5.5733322845353896</v>
      </c>
      <c r="P165">
        <v>0</v>
      </c>
    </row>
    <row r="166" spans="1:16" s="7" customFormat="1">
      <c r="A166" s="7" t="s">
        <v>215</v>
      </c>
      <c r="B166">
        <v>157.47765793212</v>
      </c>
      <c r="C166">
        <v>-15.501662437852209</v>
      </c>
      <c r="D166">
        <v>-137.5802063601507</v>
      </c>
      <c r="E166">
        <v>72.692301698396562</v>
      </c>
      <c r="F166">
        <v>-157.4776579321198</v>
      </c>
      <c r="G166">
        <v>0.34858454120896448</v>
      </c>
      <c r="H166">
        <v>-26.057520801258288</v>
      </c>
      <c r="I166">
        <v>-114.3843297127993</v>
      </c>
      <c r="J166">
        <v>15.50166243785212</v>
      </c>
      <c r="K166">
        <v>137.58020636015061</v>
      </c>
      <c r="L166">
        <v>-72.692301698396662</v>
      </c>
      <c r="M166">
        <v>12.125317023939539</v>
      </c>
      <c r="N166">
        <v>84.191921645050826</v>
      </c>
      <c r="O166">
        <v>0.92037925732735815</v>
      </c>
      <c r="P166">
        <v>157.4776579321198</v>
      </c>
    </row>
    <row r="167" spans="1:16" s="7" customFormat="1">
      <c r="A167" s="7" t="s">
        <v>214</v>
      </c>
      <c r="B167">
        <v>142.93986990088479</v>
      </c>
      <c r="C167">
        <v>9.7980880577611416</v>
      </c>
      <c r="D167">
        <v>-99.533958705496815</v>
      </c>
      <c r="E167">
        <v>36.245830525667621</v>
      </c>
      <c r="F167">
        <v>-29.34368579159705</v>
      </c>
      <c r="G167">
        <v>-8.2118150654554114</v>
      </c>
      <c r="H167">
        <v>-0.35245886971701879</v>
      </c>
      <c r="I167">
        <v>-16.730707696819088</v>
      </c>
      <c r="J167">
        <v>-2.7739332167373578</v>
      </c>
      <c r="K167">
        <v>8.4847834255271781</v>
      </c>
      <c r="L167">
        <v>-6.0396875580660172</v>
      </c>
      <c r="M167">
        <v>4.9341887753167128</v>
      </c>
      <c r="N167">
        <v>22.45075648851773</v>
      </c>
      <c r="O167">
        <v>-5.0070908891781514</v>
      </c>
      <c r="P167">
        <v>142.9398699008851</v>
      </c>
    </row>
    <row r="168" spans="1:16" s="7" customFormat="1">
      <c r="A168" s="7" t="s">
        <v>218</v>
      </c>
      <c r="B168">
        <v>147.75621276785799</v>
      </c>
      <c r="C168">
        <v>-8.3312514262019768</v>
      </c>
      <c r="D168">
        <v>-116.6896845659445</v>
      </c>
      <c r="E168">
        <v>46.875894653715228</v>
      </c>
      <c r="F168">
        <v>-147.75621276785779</v>
      </c>
      <c r="G168">
        <v>13.413301394938619</v>
      </c>
      <c r="H168">
        <v>-30.487887084797109</v>
      </c>
      <c r="I168">
        <v>-73.931075113592854</v>
      </c>
      <c r="J168">
        <v>8.3312514262017494</v>
      </c>
      <c r="K168">
        <v>116.68968456594421</v>
      </c>
      <c r="L168">
        <v>-46.875894653715221</v>
      </c>
      <c r="M168">
        <v>-50.462156966746527</v>
      </c>
      <c r="N168">
        <v>88.95313799742101</v>
      </c>
      <c r="O168">
        <v>-15.34754563924751</v>
      </c>
      <c r="P168">
        <v>147.7562127678577</v>
      </c>
    </row>
    <row r="169" spans="1:16" s="7" customFormat="1">
      <c r="A169" s="7" t="s">
        <v>220</v>
      </c>
      <c r="B169">
        <v>145.51467074809841</v>
      </c>
      <c r="C169">
        <v>-13.42654199205025</v>
      </c>
      <c r="D169">
        <v>-122.1249163412831</v>
      </c>
      <c r="E169">
        <v>88.47495898410051</v>
      </c>
      <c r="F169">
        <v>-145.51467074809841</v>
      </c>
      <c r="G169">
        <v>3.573009834653547</v>
      </c>
      <c r="H169">
        <v>40.462315438223051</v>
      </c>
      <c r="I169">
        <v>-43.149433260242461</v>
      </c>
      <c r="J169">
        <v>13.42654199205019</v>
      </c>
      <c r="K169">
        <v>122.1249163412831</v>
      </c>
      <c r="L169">
        <v>-88.474958984100553</v>
      </c>
      <c r="M169">
        <v>67.82639165602825</v>
      </c>
      <c r="N169">
        <v>37.716169598355911</v>
      </c>
      <c r="O169">
        <v>15.728020970841481</v>
      </c>
      <c r="P169">
        <v>145.51467074809841</v>
      </c>
    </row>
    <row r="170" spans="1:16" s="7" customFormat="1">
      <c r="A170" s="7" t="s">
        <v>223</v>
      </c>
      <c r="B170">
        <v>111.6197326939477</v>
      </c>
      <c r="C170">
        <v>-24.109673150298772</v>
      </c>
      <c r="D170">
        <v>-95.950217250695346</v>
      </c>
      <c r="E170">
        <v>55.170916882665047</v>
      </c>
      <c r="F170">
        <v>-111.6197326939476</v>
      </c>
      <c r="G170">
        <v>7.8736483997120246</v>
      </c>
      <c r="H170">
        <v>-10.61204350966395</v>
      </c>
      <c r="I170">
        <v>-55.218322202241957</v>
      </c>
      <c r="J170">
        <v>24.109673150298701</v>
      </c>
      <c r="K170">
        <v>95.950217250695204</v>
      </c>
      <c r="L170">
        <v>-55.170916882665011</v>
      </c>
      <c r="M170">
        <v>-23.623037243538249</v>
      </c>
      <c r="N170">
        <v>111.6197326939476</v>
      </c>
      <c r="O170">
        <v>32.132161267262568</v>
      </c>
      <c r="P170">
        <v>111.6197326939476</v>
      </c>
    </row>
    <row r="171" spans="1:16" s="7" customFormat="1">
      <c r="A171" s="7" t="s">
        <v>221</v>
      </c>
      <c r="B171">
        <v>173.9578936372919</v>
      </c>
      <c r="C171">
        <v>20.99777061960199</v>
      </c>
      <c r="D171">
        <v>-53.275877224944203</v>
      </c>
      <c r="E171">
        <v>9.9211058316220431</v>
      </c>
      <c r="F171">
        <v>-41.521258514508951</v>
      </c>
      <c r="G171">
        <v>-2.6498260255421879</v>
      </c>
      <c r="H171">
        <v>8.3766155618621703</v>
      </c>
      <c r="I171">
        <v>1.008694811874308</v>
      </c>
      <c r="J171">
        <v>4.5875337409391737</v>
      </c>
      <c r="K171">
        <v>15.977429032416399</v>
      </c>
      <c r="L171">
        <v>-9.0133663814679235</v>
      </c>
      <c r="M171">
        <v>2.2274787178200959</v>
      </c>
      <c r="N171">
        <v>12.835669081668669</v>
      </c>
      <c r="O171">
        <v>1.3011743134239291</v>
      </c>
      <c r="P171">
        <v>25.469147018651629</v>
      </c>
    </row>
    <row r="172" spans="1:16" s="7" customFormat="1">
      <c r="A172" s="7" t="s">
        <v>222</v>
      </c>
      <c r="B172">
        <v>120.6352255121588</v>
      </c>
      <c r="C172">
        <v>11.840010141349371</v>
      </c>
      <c r="D172">
        <v>-79.536359154821724</v>
      </c>
      <c r="E172">
        <v>11.414520464258951</v>
      </c>
      <c r="F172">
        <v>-20.116511513996649</v>
      </c>
      <c r="G172">
        <v>-3.7557724206297949</v>
      </c>
      <c r="H172">
        <v>-3.3691445450575568</v>
      </c>
      <c r="I172">
        <v>-4.9561127151194508</v>
      </c>
      <c r="J172">
        <v>-2.2200232824620558</v>
      </c>
      <c r="K172">
        <v>10.54286499628919</v>
      </c>
      <c r="L172">
        <v>-3.9739474644126109</v>
      </c>
      <c r="M172">
        <v>-3.1557906579179011</v>
      </c>
      <c r="N172">
        <v>16.726711546509879</v>
      </c>
      <c r="O172">
        <v>-1.6750180247534061</v>
      </c>
      <c r="P172">
        <v>120.6352255121589</v>
      </c>
    </row>
    <row r="173" spans="1:16" s="7" customFormat="1">
      <c r="A173" s="7" t="s">
        <v>224</v>
      </c>
      <c r="B173">
        <v>128.41195854736301</v>
      </c>
      <c r="C173">
        <v>-7.5901914498661904</v>
      </c>
      <c r="D173">
        <v>-107.48766898167339</v>
      </c>
      <c r="E173">
        <v>59.00943057792378</v>
      </c>
      <c r="F173">
        <v>-128.41195854736301</v>
      </c>
      <c r="G173">
        <v>18.241070160375749</v>
      </c>
      <c r="H173">
        <v>4.4272957788302278</v>
      </c>
      <c r="I173">
        <v>-84.357933323835709</v>
      </c>
      <c r="J173">
        <v>7.5901914498662002</v>
      </c>
      <c r="K173">
        <v>107.48766898167339</v>
      </c>
      <c r="L173">
        <v>-59.009430577923702</v>
      </c>
      <c r="M173">
        <v>-0.30558912669524568</v>
      </c>
      <c r="N173">
        <v>72.91560606866733</v>
      </c>
      <c r="O173">
        <v>18.55200135412618</v>
      </c>
      <c r="P173">
        <v>128.4119585473631</v>
      </c>
    </row>
    <row r="174" spans="1:16" s="7" customFormat="1" ht="14">
      <c r="A174" s="34"/>
    </row>
    <row r="175" spans="1:16" s="7" customFormat="1" ht="14">
      <c r="A175" s="34"/>
    </row>
    <row r="176" spans="1:16" s="7" customFormat="1" ht="15" customHeight="1">
      <c r="A176" s="34"/>
    </row>
    <row r="177" spans="1:16" s="7" customFormat="1" ht="15" customHeight="1">
      <c r="A177" s="164" t="s">
        <v>180</v>
      </c>
    </row>
    <row r="178" spans="1:16" s="7" customFormat="1" ht="15" customHeight="1">
      <c r="A178" s="164" t="s">
        <v>122</v>
      </c>
      <c r="B178" s="7" t="s">
        <v>50</v>
      </c>
      <c r="C178" s="7" t="s">
        <v>26</v>
      </c>
      <c r="D178" s="7" t="s">
        <v>28</v>
      </c>
      <c r="E178" s="7" t="s">
        <v>34</v>
      </c>
      <c r="F178" s="7" t="s">
        <v>27</v>
      </c>
      <c r="G178" s="7" t="s">
        <v>52</v>
      </c>
      <c r="H178" s="7" t="s">
        <v>51</v>
      </c>
      <c r="I178" s="7" t="s">
        <v>53</v>
      </c>
      <c r="J178" s="7" t="s">
        <v>54</v>
      </c>
      <c r="K178" s="7" t="s">
        <v>55</v>
      </c>
      <c r="L178" s="7" t="s">
        <v>56</v>
      </c>
      <c r="M178" s="7" t="s">
        <v>57</v>
      </c>
      <c r="N178" s="7" t="s">
        <v>58</v>
      </c>
      <c r="O178" s="7" t="s">
        <v>59</v>
      </c>
      <c r="P178" s="7" t="s">
        <v>60</v>
      </c>
    </row>
    <row r="179" spans="1:16" s="7" customFormat="1" ht="15" customHeight="1">
      <c r="A179" s="164" t="s">
        <v>105</v>
      </c>
      <c r="B179" s="7">
        <v>621.39919635000001</v>
      </c>
      <c r="C179" s="7">
        <v>146.24868057</v>
      </c>
      <c r="D179" s="7">
        <v>-152.44648609999999</v>
      </c>
      <c r="E179" s="7">
        <v>-48.427171319999999</v>
      </c>
      <c r="F179" s="7">
        <v>-116.74621759999999</v>
      </c>
      <c r="G179" s="7">
        <v>-88.254057309999993</v>
      </c>
      <c r="H179" s="7">
        <v>-17.812557330000001</v>
      </c>
      <c r="I179" s="7">
        <v>56.053609399999999</v>
      </c>
      <c r="J179" s="7">
        <v>-32.950609389999997</v>
      </c>
      <c r="K179" s="7">
        <v>0.18647398749999999</v>
      </c>
      <c r="L179" s="7">
        <v>10.284973975</v>
      </c>
      <c r="M179" s="7">
        <v>-33.188451260000001</v>
      </c>
      <c r="N179" s="7">
        <v>-0.697284609</v>
      </c>
      <c r="O179" s="7">
        <v>-59.909784610000003</v>
      </c>
      <c r="P179" s="7">
        <v>18.901715391</v>
      </c>
    </row>
    <row r="180" spans="1:16" s="7" customFormat="1" ht="15" customHeight="1">
      <c r="A180" s="164" t="s">
        <v>84</v>
      </c>
      <c r="B180" s="7">
        <v>531.68701906000001</v>
      </c>
      <c r="C180" s="7">
        <v>123.42454721999999</v>
      </c>
      <c r="D180" s="7">
        <v>-85.31013342</v>
      </c>
      <c r="E180" s="7">
        <v>-30.159520860000001</v>
      </c>
      <c r="F180" s="7">
        <v>-85.463803409999997</v>
      </c>
      <c r="G180" s="7">
        <v>-53.42786108</v>
      </c>
      <c r="H180" s="7">
        <v>-6.3706451619999998</v>
      </c>
      <c r="I180" s="7">
        <v>32.459380207999999</v>
      </c>
      <c r="J180" s="7">
        <v>-59.416312480000002</v>
      </c>
      <c r="K180" s="7">
        <v>21.216155208</v>
      </c>
      <c r="L180" s="7">
        <v>-24.21198021</v>
      </c>
      <c r="M180" s="7">
        <v>-55.572982009999997</v>
      </c>
      <c r="N180" s="7">
        <v>-28.205240629999999</v>
      </c>
      <c r="O180" s="7">
        <v>-15.22394063</v>
      </c>
      <c r="P180" s="7">
        <v>-37.401240629999997</v>
      </c>
    </row>
    <row r="181" spans="1:16" s="7" customFormat="1" ht="15" customHeight="1">
      <c r="A181" s="164" t="s">
        <v>82</v>
      </c>
      <c r="B181" s="7">
        <v>419.9750631</v>
      </c>
      <c r="C181" s="7">
        <v>93.876868518999999</v>
      </c>
      <c r="D181" s="7">
        <v>-37.518463189999999</v>
      </c>
      <c r="E181" s="7">
        <v>-18.152626779999999</v>
      </c>
      <c r="F181" s="7">
        <v>-72.269324519999998</v>
      </c>
      <c r="G181" s="7">
        <v>-16.10912867</v>
      </c>
      <c r="H181" s="7">
        <v>-1.5674071650000001</v>
      </c>
      <c r="I181" s="7">
        <v>18.242772917</v>
      </c>
      <c r="J181" s="7">
        <v>-61.031656429999998</v>
      </c>
      <c r="K181" s="7">
        <v>29.74716875</v>
      </c>
      <c r="L181" s="7">
        <v>-1.5817270830000001</v>
      </c>
      <c r="M181" s="7">
        <v>-61.778126090000001</v>
      </c>
      <c r="N181" s="7">
        <v>-26.96677429</v>
      </c>
      <c r="O181" s="7">
        <v>6.7362257061999999</v>
      </c>
      <c r="P181" s="7">
        <v>-48.175107629999999</v>
      </c>
    </row>
    <row r="182" spans="1:16" s="7" customFormat="1" ht="15" customHeight="1">
      <c r="A182" s="164" t="s">
        <v>90</v>
      </c>
      <c r="B182" s="7">
        <v>778.76136140000006</v>
      </c>
      <c r="C182" s="7">
        <v>-11.01201856</v>
      </c>
      <c r="D182" s="7">
        <v>-203.3350599</v>
      </c>
      <c r="E182" s="7">
        <v>41.699376841999999</v>
      </c>
      <c r="F182" s="7">
        <v>-121.3210957</v>
      </c>
      <c r="G182" s="7">
        <v>-21.955512389999999</v>
      </c>
      <c r="H182" s="7">
        <v>-36.04902517</v>
      </c>
      <c r="I182" s="7">
        <v>25.197619869</v>
      </c>
      <c r="J182" s="7">
        <v>55.918554854</v>
      </c>
      <c r="K182" s="7">
        <v>46.316701187</v>
      </c>
      <c r="L182" s="7">
        <v>16.957017186000002</v>
      </c>
      <c r="M182" s="7">
        <v>-97.647330609999997</v>
      </c>
      <c r="N182" s="7">
        <v>37.875034397</v>
      </c>
      <c r="O182" s="7">
        <v>-35.336793419999999</v>
      </c>
      <c r="P182" s="7">
        <v>58.171993317000002</v>
      </c>
    </row>
    <row r="183" spans="1:16" s="7" customFormat="1" ht="15" customHeight="1">
      <c r="A183" s="164" t="s">
        <v>123</v>
      </c>
      <c r="B183" s="7">
        <v>532.20480356999997</v>
      </c>
      <c r="C183" s="7">
        <v>127.13166114000001</v>
      </c>
      <c r="D183" s="7">
        <v>-88.45966387</v>
      </c>
      <c r="E183" s="7">
        <v>-52.288987390000003</v>
      </c>
      <c r="F183" s="7">
        <v>-31.646500320000001</v>
      </c>
      <c r="G183" s="7">
        <v>-63.610889270000001</v>
      </c>
      <c r="H183" s="7">
        <v>-87.514917130000001</v>
      </c>
      <c r="I183" s="7">
        <v>-22.54663257</v>
      </c>
      <c r="J183" s="7">
        <v>-7.2111216789999997</v>
      </c>
      <c r="K183" s="7">
        <v>-33.869207230000001</v>
      </c>
      <c r="L183" s="7">
        <v>-11.69190723</v>
      </c>
      <c r="M183" s="7">
        <v>-55.938632259999999</v>
      </c>
      <c r="N183" s="7">
        <v>-36.213417499999998</v>
      </c>
      <c r="O183" s="7">
        <v>34.903170000000003</v>
      </c>
      <c r="P183" s="7">
        <v>23.674119285</v>
      </c>
    </row>
    <row r="184" spans="1:16" s="7" customFormat="1" ht="15" customHeight="1">
      <c r="A184" s="164" t="s">
        <v>124</v>
      </c>
      <c r="B184" s="7">
        <v>447.38467909000002</v>
      </c>
      <c r="C184" s="7">
        <v>98.949415908000006</v>
      </c>
      <c r="D184" s="7">
        <v>-66.44140668</v>
      </c>
      <c r="E184" s="7">
        <v>-67.670780399999998</v>
      </c>
      <c r="F184" s="7">
        <v>-14.2351896</v>
      </c>
      <c r="G184" s="7">
        <v>-48.918337600000001</v>
      </c>
      <c r="H184" s="7">
        <v>-26.31136884</v>
      </c>
      <c r="I184" s="7">
        <v>3.7547019461</v>
      </c>
      <c r="J184" s="7">
        <v>-6.4669379469999999</v>
      </c>
      <c r="K184" s="7">
        <v>-49.278872560000003</v>
      </c>
      <c r="L184" s="7">
        <v>-4.4705896000000002E-2</v>
      </c>
      <c r="M184" s="7">
        <v>-26.041354680000001</v>
      </c>
      <c r="N184" s="7">
        <v>-37.203204249999999</v>
      </c>
      <c r="O184" s="7">
        <v>18.409133184000002</v>
      </c>
      <c r="P184" s="7">
        <v>29.761152845000002</v>
      </c>
    </row>
    <row r="185" spans="1:16" s="7" customFormat="1" ht="15" customHeight="1">
      <c r="A185" s="164" t="s">
        <v>169</v>
      </c>
      <c r="B185" s="7">
        <v>810.14458029000002</v>
      </c>
      <c r="C185" s="7">
        <v>-152.45942289999999</v>
      </c>
      <c r="D185" s="7">
        <v>-232.58296720000001</v>
      </c>
      <c r="E185" s="7">
        <v>33.868755053000001</v>
      </c>
      <c r="F185" s="7">
        <v>-76.884343079999994</v>
      </c>
      <c r="G185" s="7">
        <v>30.901441086999998</v>
      </c>
      <c r="H185" s="7">
        <v>-13.910221590000001</v>
      </c>
      <c r="I185" s="7">
        <v>40.942049085000001</v>
      </c>
      <c r="J185" s="7">
        <v>53.761792290000002</v>
      </c>
      <c r="K185" s="7">
        <v>57.895175371999997</v>
      </c>
      <c r="L185" s="7">
        <v>2.0886036553</v>
      </c>
      <c r="M185" s="7">
        <v>-45.362730030000002</v>
      </c>
      <c r="N185" s="7">
        <v>-7.4171932700000003</v>
      </c>
      <c r="O185" s="7">
        <v>11.959493416000001</v>
      </c>
      <c r="P185" s="7">
        <v>-25.173165099999999</v>
      </c>
    </row>
    <row r="186" spans="1:16" s="7" customFormat="1" ht="15" customHeight="1">
      <c r="A186" s="164" t="s">
        <v>170</v>
      </c>
      <c r="B186" s="7">
        <v>885.03904169999998</v>
      </c>
      <c r="C186" s="7">
        <v>-50.327885109999997</v>
      </c>
      <c r="D186" s="7">
        <v>-293.92275810000001</v>
      </c>
      <c r="E186" s="7">
        <v>50.823660637000003</v>
      </c>
      <c r="F186" s="7">
        <v>-127.9211651</v>
      </c>
      <c r="G186" s="7">
        <v>48.05034509</v>
      </c>
      <c r="H186" s="7">
        <v>4.9112042708999999</v>
      </c>
      <c r="I186" s="7">
        <v>70.285324291999999</v>
      </c>
      <c r="J186" s="7">
        <v>76.881070429000005</v>
      </c>
      <c r="K186" s="7">
        <v>14.385083092</v>
      </c>
      <c r="L186" s="7">
        <v>-1.6186465290000001</v>
      </c>
      <c r="M186" s="7">
        <v>67.705336564999996</v>
      </c>
      <c r="N186" s="7">
        <v>-17.975394120000001</v>
      </c>
      <c r="O186" s="7">
        <v>-99.407602710000006</v>
      </c>
      <c r="P186" s="7">
        <v>85.748434687</v>
      </c>
    </row>
    <row r="187" spans="1:16" s="7" customFormat="1" ht="15" customHeight="1">
      <c r="A187" s="164" t="s">
        <v>227</v>
      </c>
      <c r="B187" s="7">
        <v>536.66786453999998</v>
      </c>
      <c r="C187" s="7">
        <v>106.40130046</v>
      </c>
      <c r="D187" s="7">
        <v>-210.05150140000001</v>
      </c>
      <c r="E187" s="7">
        <v>-11.65238605</v>
      </c>
      <c r="F187" s="7">
        <v>-84.360724140000002</v>
      </c>
      <c r="G187" s="7">
        <v>-109.66851320000001</v>
      </c>
      <c r="H187" s="7">
        <v>24.840721385999998</v>
      </c>
      <c r="I187" s="7">
        <v>52.117698765</v>
      </c>
      <c r="J187" s="7">
        <v>-19.046661060000002</v>
      </c>
      <c r="K187" s="7">
        <v>17.352963642999999</v>
      </c>
      <c r="L187" s="7">
        <v>13.306105702</v>
      </c>
      <c r="M187" s="7">
        <v>-13.107444689999999</v>
      </c>
      <c r="N187" s="7">
        <v>-1.6732957260000001</v>
      </c>
      <c r="O187" s="7">
        <v>-6.2675716220000002</v>
      </c>
      <c r="P187" s="7">
        <v>0</v>
      </c>
    </row>
    <row r="188" spans="1:16" s="7" customFormat="1" ht="15" customHeight="1">
      <c r="A188" s="164" t="s">
        <v>139</v>
      </c>
      <c r="B188" s="7">
        <v>424.09663155999999</v>
      </c>
      <c r="C188" s="7">
        <v>9.0879681979000004</v>
      </c>
      <c r="D188" s="7">
        <v>-114.3327982</v>
      </c>
      <c r="E188" s="7">
        <v>-31.92111405</v>
      </c>
      <c r="F188" s="7">
        <v>-50.852925050000003</v>
      </c>
      <c r="G188" s="7">
        <v>19.410832492000001</v>
      </c>
      <c r="H188" s="7">
        <v>-4.9088232649999997</v>
      </c>
      <c r="I188" s="7">
        <v>63.550769754000001</v>
      </c>
      <c r="J188" s="7">
        <v>-38.575741450000002</v>
      </c>
      <c r="K188" s="7">
        <v>15.391569088000001</v>
      </c>
      <c r="L188" s="7">
        <v>-20.46042581</v>
      </c>
      <c r="M188" s="7">
        <v>-75.749712880000004</v>
      </c>
      <c r="N188" s="7">
        <v>-10.069061830000001</v>
      </c>
      <c r="O188" s="7">
        <v>52.610874430999999</v>
      </c>
      <c r="P188" s="7">
        <v>0</v>
      </c>
    </row>
    <row r="189" spans="1:16" s="7" customFormat="1" ht="15" customHeight="1">
      <c r="A189" s="164" t="s">
        <v>226</v>
      </c>
      <c r="B189" s="7">
        <v>364.13586966000003</v>
      </c>
      <c r="C189" s="7">
        <v>69.529035296999993</v>
      </c>
      <c r="D189" s="7">
        <v>-114.6227543</v>
      </c>
      <c r="E189" s="7">
        <v>-18.206002460000001</v>
      </c>
      <c r="F189" s="7">
        <v>-88.155991119999996</v>
      </c>
      <c r="G189" s="7">
        <v>-46.237243390000003</v>
      </c>
      <c r="H189" s="7">
        <v>-3.0878875410000002</v>
      </c>
      <c r="I189" s="7">
        <v>18.531914061999998</v>
      </c>
      <c r="J189" s="7">
        <v>-14.48602356</v>
      </c>
      <c r="K189" s="7">
        <v>34.464392170000004</v>
      </c>
      <c r="L189" s="7">
        <v>4.4844619124999996</v>
      </c>
      <c r="M189" s="7">
        <v>-2.682037577</v>
      </c>
      <c r="N189" s="7">
        <v>-29.842476229999999</v>
      </c>
      <c r="O189" s="7">
        <v>5.9152970586000002</v>
      </c>
      <c r="P189" s="7">
        <v>53.467629158999998</v>
      </c>
    </row>
    <row r="190" spans="1:16" s="7" customFormat="1" ht="15" customHeight="1">
      <c r="A190" s="164" t="s">
        <v>85</v>
      </c>
      <c r="B190" s="7">
        <v>320.15174954999998</v>
      </c>
      <c r="C190" s="7">
        <v>26.409874597000002</v>
      </c>
      <c r="D190" s="7">
        <v>-31.059293579999999</v>
      </c>
      <c r="E190" s="7">
        <v>-56.224008169999998</v>
      </c>
      <c r="F190" s="7">
        <v>-3.9012351889999999</v>
      </c>
      <c r="G190" s="7">
        <v>1.3090952815000001</v>
      </c>
      <c r="H190" s="7">
        <v>8.8551526574999997</v>
      </c>
      <c r="I190" s="7">
        <v>11.518716752</v>
      </c>
      <c r="J190" s="7">
        <v>15.180882172</v>
      </c>
      <c r="K190" s="7">
        <v>-24.96495621</v>
      </c>
      <c r="L190" s="7">
        <v>-17.477890439999999</v>
      </c>
      <c r="M190" s="7">
        <v>-102.5287616</v>
      </c>
      <c r="N190" s="7">
        <v>-46.96282987</v>
      </c>
      <c r="O190" s="7">
        <v>60.066774492999997</v>
      </c>
      <c r="P190" s="7">
        <v>33.405659800000002</v>
      </c>
    </row>
    <row r="191" spans="1:16" s="7" customFormat="1" ht="15" customHeight="1">
      <c r="A191" s="164" t="s">
        <v>94</v>
      </c>
      <c r="B191" s="7">
        <v>260.24563330000001</v>
      </c>
      <c r="C191" s="7">
        <v>51.590929189999997</v>
      </c>
      <c r="D191" s="7">
        <v>-21.56389063</v>
      </c>
      <c r="E191" s="7">
        <v>-20.56838617</v>
      </c>
      <c r="F191" s="7">
        <v>-15.784630910000001</v>
      </c>
      <c r="G191" s="7">
        <v>-6.5238387619999996</v>
      </c>
      <c r="H191" s="7">
        <v>-7.7431479940000001</v>
      </c>
      <c r="I191" s="7">
        <v>9.2283094338999998</v>
      </c>
      <c r="J191" s="7">
        <v>-3.1504884030000002</v>
      </c>
      <c r="K191" s="7">
        <v>-3.1725983129999999</v>
      </c>
      <c r="L191" s="7">
        <v>6.4122338653000002</v>
      </c>
      <c r="M191" s="7">
        <v>-2.806296718</v>
      </c>
      <c r="N191" s="7">
        <v>-15.58648348</v>
      </c>
      <c r="O191" s="7">
        <v>9.3630079627999994</v>
      </c>
      <c r="P191" s="7">
        <v>5.1628031004999997</v>
      </c>
    </row>
    <row r="192" spans="1:16" s="7" customFormat="1" ht="15" customHeight="1">
      <c r="A192" s="164" t="s">
        <v>223</v>
      </c>
      <c r="B192" s="7">
        <v>955.87392867999995</v>
      </c>
      <c r="C192" s="7">
        <v>-7.6908675769999997</v>
      </c>
      <c r="D192" s="7">
        <v>-361.3222055</v>
      </c>
      <c r="E192" s="7">
        <v>58.155388762999998</v>
      </c>
      <c r="F192" s="7">
        <v>0</v>
      </c>
      <c r="G192" s="7">
        <v>-32.138842369999999</v>
      </c>
      <c r="H192" s="7">
        <v>66.601510808</v>
      </c>
      <c r="I192" s="7">
        <v>-11.112730669999999</v>
      </c>
      <c r="J192" s="7">
        <v>0</v>
      </c>
      <c r="K192" s="7">
        <v>0</v>
      </c>
      <c r="L192" s="7">
        <v>0</v>
      </c>
      <c r="M192" s="7">
        <v>-151.9264446</v>
      </c>
      <c r="N192" s="7">
        <v>94.149249398999999</v>
      </c>
      <c r="O192" s="7">
        <v>-59.811650999999998</v>
      </c>
      <c r="P192" s="7">
        <v>0</v>
      </c>
    </row>
    <row r="193" spans="1:28" s="7" customFormat="1" ht="15" customHeight="1">
      <c r="A193" s="164" t="s">
        <v>220</v>
      </c>
      <c r="B193" s="7">
        <v>1148.7007011000001</v>
      </c>
      <c r="C193" s="7">
        <v>-69.368801469999994</v>
      </c>
      <c r="D193" s="7">
        <v>-619.04583079999998</v>
      </c>
      <c r="E193" s="7">
        <v>172.34964735</v>
      </c>
      <c r="F193" s="7">
        <v>0</v>
      </c>
      <c r="G193" s="7">
        <v>21.597847977000001</v>
      </c>
      <c r="H193" s="7">
        <v>-7.9090672160000004</v>
      </c>
      <c r="I193" s="7">
        <v>-32.82854167</v>
      </c>
      <c r="J193" s="7">
        <v>0</v>
      </c>
      <c r="K193" s="7">
        <v>0</v>
      </c>
      <c r="L193" s="7">
        <v>0</v>
      </c>
      <c r="M193" s="7">
        <v>-43.011821179999998</v>
      </c>
      <c r="N193" s="7">
        <v>199.76228431000001</v>
      </c>
      <c r="O193" s="7">
        <v>-24.970049020000001</v>
      </c>
      <c r="P193" s="7">
        <v>0</v>
      </c>
    </row>
    <row r="194" spans="1:28" s="7" customFormat="1" ht="15" customHeight="1">
      <c r="A194" s="164" t="s">
        <v>171</v>
      </c>
      <c r="B194" s="7">
        <v>332.71200734000001</v>
      </c>
      <c r="C194" s="7">
        <v>35.946503704000001</v>
      </c>
      <c r="D194" s="7">
        <v>-24.93404074</v>
      </c>
      <c r="E194" s="7">
        <v>-14.47658889</v>
      </c>
      <c r="F194" s="7">
        <v>-21.304449999999999</v>
      </c>
      <c r="G194" s="7">
        <v>-10.046264580000001</v>
      </c>
      <c r="H194" s="7">
        <v>-6.0311729170000001</v>
      </c>
      <c r="I194" s="7">
        <v>5.3375270833000004</v>
      </c>
      <c r="J194" s="7">
        <v>-8.9298083330000004</v>
      </c>
      <c r="K194" s="7">
        <v>-19.450587500000001</v>
      </c>
      <c r="L194" s="7">
        <v>2.6926291667000002</v>
      </c>
      <c r="M194" s="7">
        <v>-8.875786347</v>
      </c>
      <c r="N194" s="7">
        <v>-32.534119680000003</v>
      </c>
      <c r="O194" s="7">
        <v>3.0488803201999999</v>
      </c>
      <c r="P194" s="7">
        <v>-35.265453010000002</v>
      </c>
    </row>
    <row r="195" spans="1:28" s="7" customFormat="1" ht="15" customHeight="1">
      <c r="A195" s="7" t="s">
        <v>221</v>
      </c>
      <c r="B195">
        <v>321.19051443577348</v>
      </c>
      <c r="C195">
        <v>57.026896646263367</v>
      </c>
      <c r="D195">
        <v>-102.94531051157411</v>
      </c>
      <c r="E195">
        <v>-3.2030487554954798</v>
      </c>
      <c r="F195">
        <v>-85.913242210884462</v>
      </c>
      <c r="G195">
        <v>-24.378081149998732</v>
      </c>
      <c r="H195">
        <v>24.65815118973147</v>
      </c>
      <c r="I195">
        <v>29.374226825430799</v>
      </c>
      <c r="J195">
        <v>-5.5624992656683334</v>
      </c>
      <c r="K195">
        <v>24.13668572764767</v>
      </c>
      <c r="L195">
        <v>-12.067341314938339</v>
      </c>
      <c r="M195">
        <v>12.02340140827596</v>
      </c>
      <c r="N195">
        <v>6.1441838863086993</v>
      </c>
      <c r="O195">
        <v>2.34252043344059</v>
      </c>
      <c r="P195">
        <v>52.412873244943157</v>
      </c>
    </row>
    <row r="196" spans="1:28" s="7" customFormat="1" ht="15" customHeight="1">
      <c r="A196" s="34" t="s">
        <v>231</v>
      </c>
      <c r="B196" s="7">
        <v>623.83390500999997</v>
      </c>
      <c r="C196" s="7">
        <v>-16.11841471</v>
      </c>
      <c r="D196" s="7">
        <v>-274.23224640000001</v>
      </c>
      <c r="E196" s="7">
        <v>42.134637636999997</v>
      </c>
      <c r="F196" s="7">
        <v>58.486337071999998</v>
      </c>
      <c r="G196" s="7">
        <v>11.824970743</v>
      </c>
      <c r="H196" s="7">
        <v>-34.929673540000003</v>
      </c>
      <c r="I196" s="7">
        <v>-26.763844809999998</v>
      </c>
      <c r="J196" s="7">
        <v>-24.660496980000001</v>
      </c>
      <c r="K196" s="7">
        <v>-45.508874509999998</v>
      </c>
      <c r="L196" s="7">
        <v>8.8194693005999998</v>
      </c>
      <c r="M196" s="7">
        <v>-79.291905839999998</v>
      </c>
      <c r="N196" s="7">
        <v>94.369582480000005</v>
      </c>
      <c r="O196" s="7">
        <v>57.112632036000001</v>
      </c>
      <c r="P196" s="7">
        <v>-26.536690650000001</v>
      </c>
    </row>
    <row r="197" spans="1:28" s="7" customFormat="1" ht="15" customHeight="1">
      <c r="A197" s="34" t="s">
        <v>232</v>
      </c>
      <c r="B197" s="7">
        <v>681.34162977999995</v>
      </c>
      <c r="C197" s="7">
        <v>30.034062625000001</v>
      </c>
      <c r="D197" s="7">
        <v>-264.4738567</v>
      </c>
      <c r="E197" s="7">
        <v>49.788716987000001</v>
      </c>
      <c r="F197" s="7">
        <v>17.142399679</v>
      </c>
      <c r="G197" s="7">
        <v>-68.232982680000006</v>
      </c>
      <c r="H197" s="7">
        <v>-14.286809890000001</v>
      </c>
      <c r="I197" s="7">
        <v>-30.797500679999999</v>
      </c>
      <c r="J197" s="7">
        <v>12.613930740000001</v>
      </c>
      <c r="K197" s="7">
        <v>-3.6034048900000002</v>
      </c>
      <c r="L197" s="7">
        <v>-21.024792130000002</v>
      </c>
      <c r="M197" s="7">
        <v>-24.997360489999998</v>
      </c>
      <c r="N197" s="7">
        <v>58.536454481</v>
      </c>
      <c r="O197" s="7">
        <v>-23.84919726</v>
      </c>
      <c r="P197" s="7">
        <v>-16.589888160000001</v>
      </c>
    </row>
    <row r="198" spans="1:28" s="7" customFormat="1" ht="15" customHeight="1">
      <c r="A198" s="34"/>
    </row>
    <row r="199" spans="1:28" s="7" customFormat="1" ht="15" customHeight="1">
      <c r="A199" s="34"/>
    </row>
    <row r="200" spans="1:28" s="7" customFormat="1" ht="15" customHeight="1">
      <c r="A200" s="34"/>
    </row>
    <row r="201" spans="1:28" s="7" customFormat="1" ht="15" customHeight="1">
      <c r="A201" s="34"/>
    </row>
    <row r="202" spans="1:28" s="7" customFormat="1" ht="15" customHeight="1">
      <c r="A202" s="34"/>
    </row>
    <row r="203" spans="1:28" s="7" customFormat="1" ht="15" customHeight="1">
      <c r="A203" s="34"/>
    </row>
    <row r="204" spans="1:28" s="7" customFormat="1" ht="15" customHeight="1">
      <c r="A204" s="34"/>
    </row>
    <row r="205" spans="1:28" s="7" customFormat="1" ht="14">
      <c r="A205" s="34"/>
      <c r="T205"/>
      <c r="U205"/>
      <c r="V205"/>
      <c r="W205"/>
      <c r="X205"/>
      <c r="Y205"/>
      <c r="Z205"/>
      <c r="AA205"/>
      <c r="AB205"/>
    </row>
    <row r="206" spans="1:28" s="7" customFormat="1">
      <c r="A206" s="7" t="s">
        <v>182</v>
      </c>
      <c r="T206"/>
      <c r="U206"/>
      <c r="V206"/>
      <c r="W206"/>
      <c r="X206"/>
    </row>
    <row r="207" spans="1:28" s="7" customFormat="1" ht="15">
      <c r="A207" s="34" t="s">
        <v>122</v>
      </c>
      <c r="B207" s="7" t="s">
        <v>50</v>
      </c>
      <c r="C207" s="7" t="s">
        <v>26</v>
      </c>
      <c r="D207" s="7" t="s">
        <v>28</v>
      </c>
      <c r="E207" s="7" t="s">
        <v>34</v>
      </c>
      <c r="F207" s="7" t="s">
        <v>27</v>
      </c>
      <c r="G207" s="7" t="s">
        <v>52</v>
      </c>
      <c r="H207" s="7" t="s">
        <v>51</v>
      </c>
      <c r="I207" s="7" t="s">
        <v>53</v>
      </c>
      <c r="J207" s="7" t="s">
        <v>54</v>
      </c>
      <c r="K207" s="7" t="s">
        <v>55</v>
      </c>
      <c r="L207" s="7" t="s">
        <v>56</v>
      </c>
      <c r="M207" s="7" t="s">
        <v>57</v>
      </c>
      <c r="N207" s="7" t="s">
        <v>58</v>
      </c>
      <c r="O207" s="7" t="s">
        <v>59</v>
      </c>
      <c r="P207" s="7" t="s">
        <v>60</v>
      </c>
      <c r="T207"/>
      <c r="U207"/>
      <c r="V207"/>
      <c r="W207"/>
    </row>
    <row r="208" spans="1:28" s="7" customFormat="1">
      <c r="A208" s="7" t="s">
        <v>105</v>
      </c>
      <c r="B208">
        <v>382.35593219999998</v>
      </c>
      <c r="C208">
        <v>85.55</v>
      </c>
      <c r="D208">
        <v>-115.93888889999999</v>
      </c>
      <c r="E208">
        <v>26</v>
      </c>
      <c r="F208">
        <v>-213.82777780000001</v>
      </c>
      <c r="G208">
        <v>-28.037500000000001</v>
      </c>
      <c r="H208">
        <v>15.425000000000001</v>
      </c>
      <c r="I208">
        <v>0.5</v>
      </c>
      <c r="J208">
        <v>-52.487499999999997</v>
      </c>
      <c r="K208">
        <v>67.037499999999994</v>
      </c>
      <c r="L208">
        <v>-43.6</v>
      </c>
      <c r="M208">
        <v>-6.3652542370000003</v>
      </c>
      <c r="N208">
        <v>27.834745763000001</v>
      </c>
      <c r="O208">
        <v>5.1847457627000004</v>
      </c>
      <c r="P208">
        <v>63.434745763000002</v>
      </c>
      <c r="T208"/>
      <c r="U208"/>
      <c r="V208"/>
      <c r="W208"/>
    </row>
    <row r="209" spans="1:23" s="7" customFormat="1">
      <c r="A209" s="7" t="s">
        <v>84</v>
      </c>
      <c r="B209">
        <v>368.04124037000003</v>
      </c>
      <c r="C209">
        <v>82.723611133000006</v>
      </c>
      <c r="D209">
        <v>-106.52659939999999</v>
      </c>
      <c r="E209">
        <v>17.959243762</v>
      </c>
      <c r="F209">
        <v>-189.71599670000001</v>
      </c>
      <c r="G209">
        <v>-30.697729930000001</v>
      </c>
      <c r="H209">
        <v>21.624592331999999</v>
      </c>
      <c r="I209">
        <v>-8.8621875190000008</v>
      </c>
      <c r="J209">
        <v>-48.861389950000003</v>
      </c>
      <c r="K209">
        <v>60.522979180999997</v>
      </c>
      <c r="L209">
        <v>-41.84106251</v>
      </c>
      <c r="M209">
        <v>-38.302843969999998</v>
      </c>
      <c r="N209">
        <v>27.128274974</v>
      </c>
      <c r="O209">
        <v>-5.021058376</v>
      </c>
      <c r="P209">
        <v>79.432774973999997</v>
      </c>
      <c r="T209"/>
      <c r="U209"/>
      <c r="V209"/>
      <c r="W209"/>
    </row>
    <row r="210" spans="1:23" s="7" customFormat="1">
      <c r="A210" s="7" t="s">
        <v>82</v>
      </c>
      <c r="B210">
        <v>345.24311660000001</v>
      </c>
      <c r="C210">
        <v>87.858425917000005</v>
      </c>
      <c r="D210">
        <v>-66.271012670000005</v>
      </c>
      <c r="E210">
        <v>3.2715841731999999</v>
      </c>
      <c r="F210">
        <v>-110.8328236</v>
      </c>
      <c r="G210">
        <v>-23.32559582</v>
      </c>
      <c r="H210">
        <v>11.597938923999999</v>
      </c>
      <c r="I210">
        <v>12.210354175000001</v>
      </c>
      <c r="J210">
        <v>-52.552436710000002</v>
      </c>
      <c r="K210">
        <v>19.381437513000002</v>
      </c>
      <c r="L210">
        <v>-15.22756249</v>
      </c>
      <c r="M210">
        <v>-55.808079890000002</v>
      </c>
      <c r="N210">
        <v>8.0830904113000006</v>
      </c>
      <c r="O210">
        <v>-9.3177429390000004</v>
      </c>
      <c r="P210">
        <v>48.949757061</v>
      </c>
      <c r="T210"/>
      <c r="U210"/>
      <c r="V210"/>
      <c r="W210"/>
    </row>
    <row r="211" spans="1:23" s="7" customFormat="1">
      <c r="A211" s="7" t="s">
        <v>226</v>
      </c>
      <c r="B211" s="7">
        <v>359.34207522999998</v>
      </c>
      <c r="C211" s="7">
        <v>50.517415518</v>
      </c>
      <c r="D211" s="7">
        <v>-109.3463618</v>
      </c>
      <c r="E211" s="7">
        <v>25.823960104000001</v>
      </c>
      <c r="F211" s="7">
        <v>-84.978190990000002</v>
      </c>
      <c r="G211" s="7">
        <v>-23.96242861</v>
      </c>
      <c r="H211" s="7">
        <v>4.1525234699000002</v>
      </c>
      <c r="I211" s="7">
        <v>-28.360837480000001</v>
      </c>
      <c r="J211" s="7">
        <v>5.8988553969000002</v>
      </c>
      <c r="K211" s="7">
        <v>18.742960233000002</v>
      </c>
      <c r="L211" s="7">
        <v>-7.8313380649999997</v>
      </c>
      <c r="M211" s="7">
        <v>-14.64847387</v>
      </c>
      <c r="N211" s="7">
        <v>29.248472138</v>
      </c>
      <c r="O211" s="7">
        <v>26.839737649</v>
      </c>
      <c r="P211" s="7">
        <v>-13.89836775</v>
      </c>
      <c r="T211"/>
      <c r="U211"/>
      <c r="V211"/>
      <c r="W211"/>
    </row>
    <row r="212" spans="1:23" s="7" customFormat="1">
      <c r="A212" s="7" t="s">
        <v>85</v>
      </c>
      <c r="B212">
        <v>350.50486188000002</v>
      </c>
      <c r="C212">
        <v>54.763425916999999</v>
      </c>
      <c r="D212">
        <v>-63.14502177</v>
      </c>
      <c r="E212">
        <v>-0.39051686899999999</v>
      </c>
      <c r="F212">
        <v>-21.394120189999999</v>
      </c>
      <c r="G212">
        <v>-23.709205229999998</v>
      </c>
      <c r="H212">
        <v>-0.51556307599999995</v>
      </c>
      <c r="I212">
        <v>5.0488541562</v>
      </c>
      <c r="J212">
        <v>18.212261220999999</v>
      </c>
      <c r="K212">
        <v>2.3433958437000002</v>
      </c>
      <c r="L212">
        <v>-2.641729169</v>
      </c>
      <c r="M212">
        <v>-34.522081270000001</v>
      </c>
      <c r="N212">
        <v>8.2467975612999993</v>
      </c>
      <c r="O212">
        <v>3.8306308613</v>
      </c>
      <c r="P212">
        <v>-44.758202439999998</v>
      </c>
      <c r="T212"/>
      <c r="U212"/>
      <c r="V212"/>
      <c r="W212"/>
    </row>
    <row r="213" spans="1:23" s="7" customFormat="1">
      <c r="A213" s="7" t="s">
        <v>94</v>
      </c>
      <c r="B213">
        <v>333.15811301000002</v>
      </c>
      <c r="C213">
        <v>57.961833343999999</v>
      </c>
      <c r="D213">
        <v>-69.994296289999994</v>
      </c>
      <c r="E213">
        <v>7.7273518556000003</v>
      </c>
      <c r="F213">
        <v>-47.544240739999999</v>
      </c>
      <c r="G213">
        <v>-29.893020839999998</v>
      </c>
      <c r="H213">
        <v>1.2960624999999999</v>
      </c>
      <c r="I213">
        <v>6.4148958374999996</v>
      </c>
      <c r="J213">
        <v>-4.0899375129999997</v>
      </c>
      <c r="K213">
        <v>4.5010624999999997</v>
      </c>
      <c r="L213">
        <v>1.0617291625</v>
      </c>
      <c r="M213">
        <v>-26.861520760000001</v>
      </c>
      <c r="N213">
        <v>9.0126459441000009</v>
      </c>
      <c r="O213">
        <v>1.0812644099999999E-2</v>
      </c>
      <c r="P213">
        <v>-27.203520709999999</v>
      </c>
      <c r="T213"/>
      <c r="U213"/>
      <c r="V213"/>
      <c r="W213"/>
    </row>
    <row r="214" spans="1:23" s="7" customFormat="1">
      <c r="A214" s="7" t="s">
        <v>123</v>
      </c>
      <c r="B214">
        <v>401.79046720000002</v>
      </c>
      <c r="C214">
        <v>95.066101844000002</v>
      </c>
      <c r="D214">
        <v>-86.99491956</v>
      </c>
      <c r="E214">
        <v>13.964785601999999</v>
      </c>
      <c r="F214">
        <v>-165.13959600000001</v>
      </c>
      <c r="G214">
        <v>-23.78403029</v>
      </c>
      <c r="H214">
        <v>8.1268211123</v>
      </c>
      <c r="I214">
        <v>14.574385413</v>
      </c>
      <c r="J214">
        <v>-41.665592109999999</v>
      </c>
      <c r="K214">
        <v>32.228968762000001</v>
      </c>
      <c r="L214">
        <v>-31.812322909999999</v>
      </c>
      <c r="M214">
        <v>-53.473723819999996</v>
      </c>
      <c r="N214">
        <v>0.54320384970000002</v>
      </c>
      <c r="O214">
        <v>-6.8031294500000001</v>
      </c>
      <c r="P214">
        <v>60.296370549999999</v>
      </c>
      <c r="T214"/>
      <c r="U214"/>
      <c r="V214"/>
      <c r="W214"/>
    </row>
    <row r="215" spans="1:23" s="7" customFormat="1">
      <c r="A215" s="7" t="s">
        <v>124</v>
      </c>
      <c r="B215">
        <v>370.77552377000001</v>
      </c>
      <c r="C215">
        <v>83.113740738999994</v>
      </c>
      <c r="D215">
        <v>-67.994614830000003</v>
      </c>
      <c r="E215">
        <v>-0.973534978</v>
      </c>
      <c r="F215">
        <v>-124.25462880000001</v>
      </c>
      <c r="G215">
        <v>-21.665469470000001</v>
      </c>
      <c r="H215">
        <v>4.6599265989000003</v>
      </c>
      <c r="I215">
        <v>14.216562494</v>
      </c>
      <c r="J215">
        <v>-42.088563720000003</v>
      </c>
      <c r="K215">
        <v>18.607354156</v>
      </c>
      <c r="L215">
        <v>-15.74427083</v>
      </c>
      <c r="M215">
        <v>-60.154898490000001</v>
      </c>
      <c r="N215">
        <v>13.00837662</v>
      </c>
      <c r="O215">
        <v>-18.22229003</v>
      </c>
      <c r="P215">
        <v>37.002709969999998</v>
      </c>
      <c r="T215"/>
      <c r="U215"/>
      <c r="V215"/>
      <c r="W215"/>
    </row>
    <row r="216" spans="1:23" s="7" customFormat="1" ht="16.5" customHeight="1">
      <c r="A216" s="7" t="s">
        <v>227</v>
      </c>
      <c r="B216">
        <v>217.76044055613971</v>
      </c>
      <c r="C216">
        <v>95.679986683922564</v>
      </c>
      <c r="D216">
        <v>-130.2376587851594</v>
      </c>
      <c r="E216">
        <v>54.172550664185607</v>
      </c>
      <c r="F216">
        <v>-131.06807435369129</v>
      </c>
      <c r="G216">
        <v>-13.886877333602049</v>
      </c>
      <c r="H216">
        <v>33.770405194291307</v>
      </c>
      <c r="I216">
        <v>-2.977830135858476</v>
      </c>
      <c r="J216">
        <v>-26.989254247597</v>
      </c>
      <c r="K216">
        <v>25.086220316768451</v>
      </c>
      <c r="L216">
        <v>-36.963713706961002</v>
      </c>
      <c r="M216">
        <v>36.192243491026318</v>
      </c>
      <c r="N216">
        <v>51.651181279732469</v>
      </c>
      <c r="O216">
        <v>49.761915925130253</v>
      </c>
      <c r="P216">
        <v>217.76044055614011</v>
      </c>
      <c r="T216"/>
      <c r="U216"/>
      <c r="V216"/>
      <c r="W216"/>
    </row>
    <row r="217" spans="1:23" s="7" customFormat="1">
      <c r="A217" s="7" t="s">
        <v>90</v>
      </c>
      <c r="B217">
        <v>568.66599435000001</v>
      </c>
      <c r="C217">
        <v>-9.1869259260000007</v>
      </c>
      <c r="D217">
        <v>-233.8423148</v>
      </c>
      <c r="E217">
        <v>126.42764815</v>
      </c>
      <c r="F217">
        <v>-240.13794440000001</v>
      </c>
      <c r="G217">
        <v>2.8396249999999998</v>
      </c>
      <c r="H217">
        <v>-23.453291669999999</v>
      </c>
      <c r="I217">
        <v>-90.154875000000004</v>
      </c>
      <c r="J217">
        <v>48.171083332999999</v>
      </c>
      <c r="K217">
        <v>112.01141667</v>
      </c>
      <c r="L217">
        <v>-117.52575</v>
      </c>
      <c r="M217">
        <v>28.218395480000002</v>
      </c>
      <c r="N217">
        <v>92.335895480000005</v>
      </c>
      <c r="O217">
        <v>-2.6694378529999998</v>
      </c>
      <c r="P217">
        <v>-2.392771186</v>
      </c>
      <c r="T217"/>
      <c r="U217"/>
      <c r="V217"/>
      <c r="W217"/>
    </row>
    <row r="218" spans="1:23" s="7" customFormat="1">
      <c r="A218" s="7" t="s">
        <v>169</v>
      </c>
      <c r="B218">
        <v>635.75337287000002</v>
      </c>
      <c r="C218">
        <v>12.314722232999999</v>
      </c>
      <c r="D218">
        <v>-246.1202778</v>
      </c>
      <c r="E218">
        <v>112.56466668</v>
      </c>
      <c r="F218">
        <v>-228.9845741</v>
      </c>
      <c r="G218">
        <v>12.034854144000001</v>
      </c>
      <c r="H218">
        <v>-10.61564581</v>
      </c>
      <c r="I218">
        <v>-76.512770840000002</v>
      </c>
      <c r="J218">
        <v>44.084854143999998</v>
      </c>
      <c r="K218">
        <v>127.35414586</v>
      </c>
      <c r="L218">
        <v>-102.1506042</v>
      </c>
      <c r="M218">
        <v>-69.100601690000005</v>
      </c>
      <c r="N218">
        <v>72.282398306000005</v>
      </c>
      <c r="O218">
        <v>13.526564956</v>
      </c>
      <c r="P218">
        <v>19.039398356</v>
      </c>
      <c r="T218"/>
      <c r="U218"/>
      <c r="V218"/>
      <c r="W218"/>
    </row>
    <row r="219" spans="1:23" s="7" customFormat="1">
      <c r="A219" s="7" t="s">
        <v>139</v>
      </c>
      <c r="B219">
        <v>193.7898887870326</v>
      </c>
      <c r="C219">
        <v>14.28807605412743</v>
      </c>
      <c r="D219">
        <v>-103.4461094148696</v>
      </c>
      <c r="E219">
        <v>22.39944693636027</v>
      </c>
      <c r="F219">
        <v>-57.636792879414067</v>
      </c>
      <c r="G219">
        <v>0.16939638301604629</v>
      </c>
      <c r="H219">
        <v>-5.677914559881585</v>
      </c>
      <c r="I219">
        <v>-4.787654462915647E-2</v>
      </c>
      <c r="J219">
        <v>1.5002864582843789</v>
      </c>
      <c r="K219">
        <v>22.110059627612401</v>
      </c>
      <c r="L219">
        <v>-19.71773047236745</v>
      </c>
      <c r="M219">
        <v>-20.136751415598919</v>
      </c>
      <c r="N219">
        <v>26.089050991108589</v>
      </c>
      <c r="O219">
        <v>-8.3345217736728276</v>
      </c>
      <c r="P219">
        <v>193.78988878703291</v>
      </c>
      <c r="T219"/>
      <c r="U219"/>
      <c r="V219"/>
      <c r="W219"/>
    </row>
    <row r="220" spans="1:23" s="7" customFormat="1">
      <c r="A220" s="7" t="s">
        <v>142</v>
      </c>
      <c r="B220" s="7">
        <v>343.03366667</v>
      </c>
      <c r="C220">
        <v>0</v>
      </c>
      <c r="D220" s="7">
        <v>-105.21796670000001</v>
      </c>
      <c r="E220" s="7">
        <v>4.9952333332999999</v>
      </c>
      <c r="F220" s="7">
        <v>-154.47416670000001</v>
      </c>
      <c r="G220">
        <v>0</v>
      </c>
      <c r="H220">
        <v>0</v>
      </c>
      <c r="I220" s="7">
        <v>-11.940633330000001</v>
      </c>
      <c r="J220">
        <v>0</v>
      </c>
      <c r="K220" s="7">
        <v>42.475949999999997</v>
      </c>
      <c r="L220" s="7">
        <v>-13.19711667</v>
      </c>
      <c r="M220">
        <v>0</v>
      </c>
      <c r="N220" s="7">
        <v>5.9071833332999999</v>
      </c>
      <c r="O220" s="7">
        <v>7.0720166666999997</v>
      </c>
      <c r="P220" s="7">
        <v>83.746933333000001</v>
      </c>
      <c r="T220"/>
      <c r="U220"/>
      <c r="V220"/>
      <c r="W220"/>
    </row>
    <row r="221" spans="1:23" s="7" customFormat="1">
      <c r="A221" s="7" t="s">
        <v>134</v>
      </c>
      <c r="B221">
        <v>683.78805147930996</v>
      </c>
      <c r="C221">
        <v>19.897912013556699</v>
      </c>
      <c r="D221">
        <v>-408.28540945961799</v>
      </c>
      <c r="E221">
        <v>130.37286863760801</v>
      </c>
      <c r="F221">
        <v>0</v>
      </c>
      <c r="G221">
        <v>-2.4176401892435599</v>
      </c>
      <c r="H221">
        <v>-48.256835966457601</v>
      </c>
      <c r="I221">
        <v>-112.25641515016</v>
      </c>
      <c r="J221">
        <v>0</v>
      </c>
      <c r="K221">
        <v>0</v>
      </c>
      <c r="L221">
        <v>0</v>
      </c>
      <c r="M221">
        <v>-30.004585306726302</v>
      </c>
      <c r="N221">
        <v>265.38270843227201</v>
      </c>
      <c r="O221">
        <v>-45.872127515620598</v>
      </c>
      <c r="P221">
        <v>0</v>
      </c>
    </row>
    <row r="222" spans="1:23" s="7" customFormat="1">
      <c r="A222" s="7" t="s">
        <v>135</v>
      </c>
      <c r="B222">
        <v>728.163736716632</v>
      </c>
      <c r="C222">
        <v>12.445615272417101</v>
      </c>
      <c r="D222">
        <v>-440.03030726948202</v>
      </c>
      <c r="E222">
        <v>177.30928173417499</v>
      </c>
      <c r="F222">
        <v>0</v>
      </c>
      <c r="G222">
        <v>-15.725813757613</v>
      </c>
      <c r="H222">
        <v>-32.694122204855802</v>
      </c>
      <c r="I222">
        <v>-157.36823035408099</v>
      </c>
      <c r="J222">
        <v>0</v>
      </c>
      <c r="K222">
        <v>0</v>
      </c>
      <c r="L222">
        <v>0</v>
      </c>
      <c r="M222">
        <v>-31.398629780938201</v>
      </c>
      <c r="N222">
        <v>301.396639018229</v>
      </c>
      <c r="O222">
        <v>-45.029256931007197</v>
      </c>
      <c r="P222">
        <v>0</v>
      </c>
    </row>
    <row r="223" spans="1:23" s="7" customFormat="1">
      <c r="A223" s="7" t="s">
        <v>215</v>
      </c>
      <c r="B223">
        <v>288.83221265550787</v>
      </c>
      <c r="C223">
        <v>8.3124950018459671</v>
      </c>
      <c r="D223">
        <v>-216.7501998541004</v>
      </c>
      <c r="E223">
        <v>108.94403802471339</v>
      </c>
      <c r="F223">
        <v>-288.83221265550759</v>
      </c>
      <c r="G223">
        <v>-40.94643346127117</v>
      </c>
      <c r="H223">
        <v>-46.571515092973549</v>
      </c>
      <c r="I223">
        <v>-137.85450070901911</v>
      </c>
      <c r="J223">
        <v>-8.3124950018460826</v>
      </c>
      <c r="K223">
        <v>216.75019985410029</v>
      </c>
      <c r="L223">
        <v>-108.94403802471361</v>
      </c>
      <c r="M223">
        <v>45.912940704115407</v>
      </c>
      <c r="N223">
        <v>87.670986286775374</v>
      </c>
      <c r="O223">
        <v>-44.235954560140243</v>
      </c>
      <c r="P223">
        <v>288.83221265550759</v>
      </c>
    </row>
    <row r="224" spans="1:23" s="7" customFormat="1">
      <c r="A224" s="7" t="s">
        <v>214</v>
      </c>
      <c r="B224">
        <v>263.77971725842411</v>
      </c>
      <c r="C224">
        <v>56.70230356169629</v>
      </c>
      <c r="D224">
        <v>-159.44268942274519</v>
      </c>
      <c r="E224">
        <v>39.887109665110302</v>
      </c>
      <c r="F224">
        <v>-88.774171880527817</v>
      </c>
      <c r="G224">
        <v>-18.84093840150679</v>
      </c>
      <c r="H224">
        <v>-24.989900264001491</v>
      </c>
      <c r="I224">
        <v>-30.6908486483626</v>
      </c>
      <c r="J224">
        <v>-34.127560131917022</v>
      </c>
      <c r="K224">
        <v>15.507544055638061</v>
      </c>
      <c r="L224">
        <v>-9.1440959375919455</v>
      </c>
      <c r="M224">
        <v>20.450284369990239</v>
      </c>
      <c r="N224">
        <v>19.85876785544087</v>
      </c>
      <c r="O224">
        <v>-11.748034272084331</v>
      </c>
      <c r="P224">
        <v>263.7797172584244</v>
      </c>
    </row>
    <row r="225" spans="1:16" s="7" customFormat="1">
      <c r="A225" s="7" t="s">
        <v>218</v>
      </c>
      <c r="B225">
        <v>253.90138676494161</v>
      </c>
      <c r="C225">
        <v>26.230693257911351</v>
      </c>
      <c r="D225">
        <v>-192.0786876555016</v>
      </c>
      <c r="E225">
        <v>74.566936891619747</v>
      </c>
      <c r="F225">
        <v>-253.90138676494121</v>
      </c>
      <c r="G225">
        <v>-49.220831100982238</v>
      </c>
      <c r="H225">
        <v>-28.40696028109409</v>
      </c>
      <c r="I225">
        <v>-99.13659457784216</v>
      </c>
      <c r="J225">
        <v>-26.230693257911639</v>
      </c>
      <c r="K225">
        <v>192.07868765550111</v>
      </c>
      <c r="L225">
        <v>-74.566936891619747</v>
      </c>
      <c r="M225">
        <v>-110.2309735584592</v>
      </c>
      <c r="N225">
        <v>130.5352651413931</v>
      </c>
      <c r="O225">
        <v>-18.717216656101101</v>
      </c>
      <c r="P225">
        <v>253.90138676494129</v>
      </c>
    </row>
    <row r="226" spans="1:16" s="7" customFormat="1">
      <c r="A226" s="7" t="s">
        <v>220</v>
      </c>
      <c r="B226">
        <v>268.83240521220421</v>
      </c>
      <c r="C226">
        <v>-5.442201838447069</v>
      </c>
      <c r="D226">
        <v>-191.8794648282196</v>
      </c>
      <c r="E226">
        <v>156.9010703435608</v>
      </c>
      <c r="F226">
        <v>-268.83240521220421</v>
      </c>
      <c r="G226">
        <v>6.8083287513208859</v>
      </c>
      <c r="H226">
        <v>65.079539072772207</v>
      </c>
      <c r="I226">
        <v>-70.679986906772555</v>
      </c>
      <c r="J226">
        <v>5.4422018384469908</v>
      </c>
      <c r="K226">
        <v>191.87946482821951</v>
      </c>
      <c r="L226">
        <v>-156.90107034356089</v>
      </c>
      <c r="M226">
        <v>112.0914159805513</v>
      </c>
      <c r="N226">
        <v>50.989706298181417</v>
      </c>
      <c r="O226">
        <v>19.290464856430081</v>
      </c>
      <c r="P226">
        <v>268.83240521220409</v>
      </c>
    </row>
    <row r="227" spans="1:16" s="7" customFormat="1" ht="15">
      <c r="A227" s="164" t="s">
        <v>223</v>
      </c>
      <c r="B227">
        <v>243.61630534845349</v>
      </c>
      <c r="C227">
        <v>-28.458525881802959</v>
      </c>
      <c r="D227">
        <v>-169.92399765836089</v>
      </c>
      <c r="E227">
        <v>105.1779862601537</v>
      </c>
      <c r="F227">
        <v>-243.61630534845349</v>
      </c>
      <c r="G227">
        <v>-0.88048798945618501</v>
      </c>
      <c r="H227">
        <v>-15.8283316632818</v>
      </c>
      <c r="I227">
        <v>-96.924124262967723</v>
      </c>
      <c r="J227">
        <v>28.458525881802721</v>
      </c>
      <c r="K227">
        <v>169.92399765836061</v>
      </c>
      <c r="L227">
        <v>-105.1779862601537</v>
      </c>
      <c r="M227">
        <v>-93.169986269719686</v>
      </c>
      <c r="N227">
        <v>243.61630534845341</v>
      </c>
      <c r="O227">
        <v>-34.206466990874112</v>
      </c>
      <c r="P227">
        <v>243.61630534845341</v>
      </c>
    </row>
    <row r="228" spans="1:16" s="7" customFormat="1" ht="15">
      <c r="A228" s="164" t="s">
        <v>221</v>
      </c>
      <c r="B228">
        <v>288.02076060158089</v>
      </c>
      <c r="C228">
        <v>52.852947762513757</v>
      </c>
      <c r="D228">
        <v>-80.379488122180376</v>
      </c>
      <c r="E228">
        <v>7.3921977409460178</v>
      </c>
      <c r="F228">
        <v>-90.922278946204102</v>
      </c>
      <c r="G228">
        <v>-7.1246792361399516</v>
      </c>
      <c r="H228">
        <v>1.8872867979913239</v>
      </c>
      <c r="I228">
        <v>-1.3483777200975759</v>
      </c>
      <c r="J228">
        <v>-9.5543026539629956</v>
      </c>
      <c r="K228">
        <v>25.916748291191631</v>
      </c>
      <c r="L228">
        <v>-15.5286126290905</v>
      </c>
      <c r="M228">
        <v>14.04703186073036</v>
      </c>
      <c r="N228">
        <v>22.668778029963359</v>
      </c>
      <c r="O228">
        <v>-3.701798490342203</v>
      </c>
      <c r="P228">
        <v>52.951058705567121</v>
      </c>
    </row>
    <row r="229" spans="1:16" s="7" customFormat="1" ht="15">
      <c r="A229" s="164" t="s">
        <v>222</v>
      </c>
      <c r="B229">
        <v>213.0915792918062</v>
      </c>
      <c r="C229">
        <v>68.552838790345987</v>
      </c>
      <c r="D229">
        <v>-126.2076447069377</v>
      </c>
      <c r="E229">
        <v>17.528737330130749</v>
      </c>
      <c r="F229">
        <v>-45.917943466510692</v>
      </c>
      <c r="G229">
        <v>-10.066086324720411</v>
      </c>
      <c r="H229">
        <v>-4.0216685562731023</v>
      </c>
      <c r="I229">
        <v>-10.15930106172266</v>
      </c>
      <c r="J229">
        <v>-8.1960264123481021</v>
      </c>
      <c r="K229">
        <v>17.285287286456089</v>
      </c>
      <c r="L229">
        <v>-6.8557509494579127</v>
      </c>
      <c r="M229">
        <v>10.109430718693121</v>
      </c>
      <c r="N229">
        <v>25.022455818119852</v>
      </c>
      <c r="O229">
        <v>3.4508416055518651</v>
      </c>
      <c r="P229">
        <v>213.09157929180651</v>
      </c>
    </row>
    <row r="230" spans="1:16" s="7" customFormat="1" ht="15">
      <c r="A230" s="164" t="s">
        <v>224</v>
      </c>
      <c r="B230">
        <v>245.07279093806491</v>
      </c>
      <c r="C230">
        <v>23.135782862759331</v>
      </c>
      <c r="D230">
        <v>-159.29889823558389</v>
      </c>
      <c r="E230">
        <v>96.243440573326723</v>
      </c>
      <c r="F230">
        <v>-245.07279093806491</v>
      </c>
      <c r="G230">
        <v>9.2672595945922556</v>
      </c>
      <c r="H230">
        <v>30.607259428772839</v>
      </c>
      <c r="I230">
        <v>-110.36317788241961</v>
      </c>
      <c r="J230">
        <v>-23.135782862759271</v>
      </c>
      <c r="K230">
        <v>159.29889823558389</v>
      </c>
      <c r="L230">
        <v>-96.243440573326552</v>
      </c>
      <c r="M230">
        <v>-7.0930832757487963</v>
      </c>
      <c r="N230">
        <v>73.879404222384522</v>
      </c>
      <c r="O230">
        <v>10.7500505852231</v>
      </c>
      <c r="P230">
        <v>245.07279093806511</v>
      </c>
    </row>
    <row r="231" spans="1:16" s="7" customFormat="1" ht="14">
      <c r="A231" s="34"/>
    </row>
    <row r="232" spans="1:16" s="7" customFormat="1" ht="14">
      <c r="A232" s="34"/>
    </row>
    <row r="233" spans="1:16" s="7" customFormat="1" ht="14">
      <c r="A233" s="34"/>
    </row>
    <row r="234" spans="1:16" s="7" customFormat="1" ht="15">
      <c r="A234" s="164" t="s">
        <v>181</v>
      </c>
    </row>
    <row r="235" spans="1:16" s="7" customFormat="1" ht="15">
      <c r="A235" s="164" t="s">
        <v>122</v>
      </c>
      <c r="B235" s="7" t="s">
        <v>50</v>
      </c>
      <c r="C235" s="7" t="s">
        <v>26</v>
      </c>
      <c r="D235" s="7" t="s">
        <v>28</v>
      </c>
      <c r="E235" s="7" t="s">
        <v>34</v>
      </c>
      <c r="F235" s="7" t="s">
        <v>27</v>
      </c>
      <c r="G235" s="7" t="s">
        <v>52</v>
      </c>
      <c r="H235" s="7" t="s">
        <v>51</v>
      </c>
      <c r="I235" s="7" t="s">
        <v>53</v>
      </c>
      <c r="J235" s="7" t="s">
        <v>54</v>
      </c>
      <c r="K235" s="7" t="s">
        <v>55</v>
      </c>
      <c r="L235" s="7" t="s">
        <v>56</v>
      </c>
      <c r="M235" s="7" t="s">
        <v>57</v>
      </c>
      <c r="N235" s="7" t="s">
        <v>58</v>
      </c>
      <c r="O235" s="7" t="s">
        <v>59</v>
      </c>
      <c r="P235" s="7" t="s">
        <v>60</v>
      </c>
    </row>
    <row r="236" spans="1:16" s="7" customFormat="1" ht="15">
      <c r="A236" s="164" t="s">
        <v>105</v>
      </c>
      <c r="B236" s="7">
        <v>1171.5676285</v>
      </c>
      <c r="C236" s="7">
        <v>271.69402312</v>
      </c>
      <c r="D236" s="7">
        <v>-232.3355694</v>
      </c>
      <c r="E236" s="7">
        <v>-45.011458390000001</v>
      </c>
      <c r="F236" s="7">
        <v>-177.64613420000001</v>
      </c>
      <c r="G236" s="7">
        <v>-135.5744219</v>
      </c>
      <c r="H236" s="7">
        <v>-9.3777969120000009</v>
      </c>
      <c r="I236" s="7">
        <v>73.423994788000002</v>
      </c>
      <c r="J236" s="7">
        <v>-50.055828089999999</v>
      </c>
      <c r="K236" s="7">
        <v>-40.470119789999998</v>
      </c>
      <c r="L236" s="7">
        <v>-10.799411429999999</v>
      </c>
      <c r="M236" s="7">
        <v>-71.224844469999994</v>
      </c>
      <c r="N236" s="7">
        <v>-63.091511269999998</v>
      </c>
      <c r="O236" s="7">
        <v>-91.878177620000002</v>
      </c>
      <c r="P236" s="7">
        <v>3.5791557291</v>
      </c>
    </row>
    <row r="237" spans="1:16" s="7" customFormat="1" ht="15">
      <c r="A237" s="164" t="s">
        <v>84</v>
      </c>
      <c r="B237" s="7">
        <v>1003.5010834</v>
      </c>
      <c r="C237" s="7">
        <v>280.79045740999999</v>
      </c>
      <c r="D237" s="7">
        <v>-157.82673209999999</v>
      </c>
      <c r="E237" s="7">
        <v>-42.87710079</v>
      </c>
      <c r="F237" s="7">
        <v>-172.31385890000001</v>
      </c>
      <c r="G237" s="7">
        <v>-97.745050680000006</v>
      </c>
      <c r="H237" s="7">
        <v>-14.14103328</v>
      </c>
      <c r="I237" s="7">
        <v>53.413004166999997</v>
      </c>
      <c r="J237" s="7">
        <v>-123.87801899999999</v>
      </c>
      <c r="K237" s="7">
        <v>17.469962500000001</v>
      </c>
      <c r="L237" s="7">
        <v>-46.970120829999999</v>
      </c>
      <c r="M237" s="7">
        <v>-107.4298352</v>
      </c>
      <c r="N237" s="7">
        <v>-69.075929189999997</v>
      </c>
      <c r="O237" s="7">
        <v>-48.838895860000001</v>
      </c>
      <c r="P237" s="7">
        <v>-54.370429190000003</v>
      </c>
    </row>
    <row r="238" spans="1:16" s="7" customFormat="1" ht="15">
      <c r="A238" s="164" t="s">
        <v>82</v>
      </c>
      <c r="B238" s="7">
        <v>771.98346299000002</v>
      </c>
      <c r="C238" s="7">
        <v>204.25399074000001</v>
      </c>
      <c r="D238" s="7">
        <v>-75.297548919999997</v>
      </c>
      <c r="E238" s="7">
        <v>-33.382298650000003</v>
      </c>
      <c r="F238" s="7">
        <v>-143.78135349999999</v>
      </c>
      <c r="G238" s="7">
        <v>-42.063330579999999</v>
      </c>
      <c r="H238" s="7">
        <v>-2.7524630430000001</v>
      </c>
      <c r="I238" s="7">
        <v>32.294718750000001</v>
      </c>
      <c r="J238" s="7">
        <v>-122.10237429999999</v>
      </c>
      <c r="K238" s="7">
        <v>54.691656250000001</v>
      </c>
      <c r="L238" s="7">
        <v>-12.852697920000001</v>
      </c>
      <c r="M238" s="7">
        <v>-119.0688071</v>
      </c>
      <c r="N238" s="7">
        <v>-43.971409129999998</v>
      </c>
      <c r="O238" s="7">
        <v>7.3694241996000001</v>
      </c>
      <c r="P238" s="7">
        <v>-101.32757580000001</v>
      </c>
    </row>
    <row r="239" spans="1:16" s="7" customFormat="1" ht="15">
      <c r="A239" s="164" t="s">
        <v>90</v>
      </c>
      <c r="B239" s="7">
        <v>1467.3523811</v>
      </c>
      <c r="C239" s="7">
        <v>37.991918472000002</v>
      </c>
      <c r="D239" s="7">
        <v>-283.71954369999997</v>
      </c>
      <c r="E239" s="7">
        <v>116.35265771</v>
      </c>
      <c r="F239" s="7">
        <v>-176.64629009999999</v>
      </c>
      <c r="G239" s="7">
        <v>-27.14796432</v>
      </c>
      <c r="H239" s="7">
        <v>-32.869519439999998</v>
      </c>
      <c r="I239" s="7">
        <v>49.411720269</v>
      </c>
      <c r="J239" s="7">
        <v>64.234167094</v>
      </c>
      <c r="K239" s="7">
        <v>17.697242037999999</v>
      </c>
      <c r="L239" s="7">
        <v>-7.2725402389999996</v>
      </c>
      <c r="M239" s="7">
        <v>-75.653013950000002</v>
      </c>
      <c r="N239" s="7">
        <v>-17.041718840000001</v>
      </c>
      <c r="O239" s="7">
        <v>-86.355449050000004</v>
      </c>
      <c r="P239" s="7">
        <v>46.798194199999998</v>
      </c>
    </row>
    <row r="240" spans="1:16" s="7" customFormat="1" ht="15">
      <c r="A240" s="164" t="s">
        <v>123</v>
      </c>
      <c r="B240" s="7">
        <v>1003.4350612</v>
      </c>
      <c r="C240" s="7">
        <v>286.76192935</v>
      </c>
      <c r="D240" s="7">
        <v>-176.52208909999999</v>
      </c>
      <c r="E240" s="7">
        <v>-104.6982004</v>
      </c>
      <c r="F240" s="7">
        <v>-45.629572330000002</v>
      </c>
      <c r="G240" s="7">
        <v>-130.6291928</v>
      </c>
      <c r="H240" s="7">
        <v>-161.47859489999999</v>
      </c>
      <c r="I240" s="7">
        <v>-43.883116899999997</v>
      </c>
      <c r="J240" s="7">
        <v>-15.20800706</v>
      </c>
      <c r="K240" s="7">
        <v>-51.22619761</v>
      </c>
      <c r="L240" s="7">
        <v>-45.694664279999998</v>
      </c>
      <c r="M240" s="7">
        <v>-102.79902079999999</v>
      </c>
      <c r="N240" s="7">
        <v>-73.689225870000001</v>
      </c>
      <c r="O240" s="7">
        <v>57.821155615999999</v>
      </c>
      <c r="P240" s="7">
        <v>21.533183403999999</v>
      </c>
    </row>
    <row r="241" spans="1:16" s="7" customFormat="1" ht="15">
      <c r="A241" s="164" t="s">
        <v>124</v>
      </c>
      <c r="B241" s="7">
        <v>828.33614232000002</v>
      </c>
      <c r="C241" s="7">
        <v>224.57058463999999</v>
      </c>
      <c r="D241" s="7">
        <v>-134.48927610000001</v>
      </c>
      <c r="E241" s="7">
        <v>-124.00672590000001</v>
      </c>
      <c r="F241" s="7">
        <v>-23.543482019999999</v>
      </c>
      <c r="G241" s="7">
        <v>-96.039623230000004</v>
      </c>
      <c r="H241" s="7">
        <v>-61.955824309999997</v>
      </c>
      <c r="I241" s="7">
        <v>-1.9103314650000001</v>
      </c>
      <c r="J241" s="7">
        <v>-5.3595256070000001</v>
      </c>
      <c r="K241" s="7">
        <v>-98.252949169999994</v>
      </c>
      <c r="L241" s="7">
        <v>-19.852282509999998</v>
      </c>
      <c r="M241" s="7">
        <v>-60.766494600000001</v>
      </c>
      <c r="N241" s="7">
        <v>-59.400714450000002</v>
      </c>
      <c r="O241" s="7">
        <v>33.300298927</v>
      </c>
      <c r="P241" s="7">
        <v>49.528765188999998</v>
      </c>
    </row>
    <row r="242" spans="1:16" s="7" customFormat="1" ht="15">
      <c r="A242" s="164" t="s">
        <v>169</v>
      </c>
      <c r="B242" s="7">
        <v>1627.5020380999999</v>
      </c>
      <c r="C242" s="7">
        <v>-146.10695089999999</v>
      </c>
      <c r="D242" s="7">
        <v>-324.73926870000003</v>
      </c>
      <c r="E242" s="7">
        <v>79.753145079999996</v>
      </c>
      <c r="F242" s="7">
        <v>-104.71359940000001</v>
      </c>
      <c r="G242" s="7">
        <v>-6.1385517859999998</v>
      </c>
      <c r="H242" s="7">
        <v>-58.93253644</v>
      </c>
      <c r="I242" s="7">
        <v>52.841353781999999</v>
      </c>
      <c r="J242" s="7">
        <v>8.4225739289000003</v>
      </c>
      <c r="K242" s="7">
        <v>78.941493221000002</v>
      </c>
      <c r="L242" s="7">
        <v>-1.6423264829999999</v>
      </c>
      <c r="M242" s="7">
        <v>-289.2714522</v>
      </c>
      <c r="N242" s="7">
        <v>-60.020881469999999</v>
      </c>
      <c r="O242" s="7">
        <v>54.331172766000002</v>
      </c>
      <c r="P242" s="7">
        <v>-69.494844319999999</v>
      </c>
    </row>
    <row r="243" spans="1:16" s="7" customFormat="1" ht="15">
      <c r="A243" s="164" t="s">
        <v>170</v>
      </c>
      <c r="B243" s="7">
        <v>1600.5723754000001</v>
      </c>
      <c r="C243" s="7">
        <v>57.986404485000001</v>
      </c>
      <c r="D243" s="7">
        <v>-368.36542530000003</v>
      </c>
      <c r="E243" s="7">
        <v>111.87131037</v>
      </c>
      <c r="F243" s="7">
        <v>-159.9266532</v>
      </c>
      <c r="G243" s="7">
        <v>76.503672355999996</v>
      </c>
      <c r="H243" s="7">
        <v>-26.29857033</v>
      </c>
      <c r="I243" s="7">
        <v>71.245816817999994</v>
      </c>
      <c r="J243" s="7">
        <v>63.234534965000002</v>
      </c>
      <c r="K243" s="7">
        <v>-78.587313030000004</v>
      </c>
      <c r="L243" s="7">
        <v>21.581595006000001</v>
      </c>
      <c r="M243" s="7">
        <v>14.539765548</v>
      </c>
      <c r="N243" s="7">
        <v>-34.448839049999997</v>
      </c>
      <c r="O243" s="7">
        <v>-122.0950927</v>
      </c>
      <c r="P243" s="7">
        <v>56.951908506999999</v>
      </c>
    </row>
    <row r="244" spans="1:16" s="7" customFormat="1" ht="15">
      <c r="A244" s="164" t="s">
        <v>227</v>
      </c>
      <c r="B244" s="7">
        <v>1020.5258857</v>
      </c>
      <c r="C244" s="7">
        <v>201.09774872</v>
      </c>
      <c r="D244" s="7">
        <v>-368.74653719999998</v>
      </c>
      <c r="E244" s="7">
        <v>24.679276980000001</v>
      </c>
      <c r="F244" s="7">
        <v>-208.57541739999999</v>
      </c>
      <c r="G244" s="7">
        <v>-152.22641350000001</v>
      </c>
      <c r="H244" s="7">
        <v>67.056448994999997</v>
      </c>
      <c r="I244" s="7">
        <v>27.163669587000001</v>
      </c>
      <c r="J244" s="7">
        <v>-7.0569658679999998</v>
      </c>
      <c r="K244" s="7">
        <v>4.2382093989999996</v>
      </c>
      <c r="L244" s="7">
        <v>-17.65236187</v>
      </c>
      <c r="M244" s="7">
        <v>105.59089072</v>
      </c>
      <c r="N244" s="7">
        <v>-31.44252998</v>
      </c>
      <c r="O244" s="7">
        <v>-96.407391059999995</v>
      </c>
      <c r="P244" s="7">
        <v>0</v>
      </c>
    </row>
    <row r="245" spans="1:16" s="7" customFormat="1" ht="15">
      <c r="A245" s="164" t="s">
        <v>139</v>
      </c>
      <c r="B245" s="7">
        <v>787.69609129000003</v>
      </c>
      <c r="C245" s="7">
        <v>66.305671129999993</v>
      </c>
      <c r="D245" s="7">
        <v>-242.23863399999999</v>
      </c>
      <c r="E245" s="7">
        <v>-8.5559620499999998</v>
      </c>
      <c r="F245" s="7">
        <v>-125.1025018</v>
      </c>
      <c r="G245" s="7">
        <v>4.3297430409000004</v>
      </c>
      <c r="H245" s="7">
        <v>-9.1529049560000004</v>
      </c>
      <c r="I245" s="7">
        <v>60.351101456999999</v>
      </c>
      <c r="J245" s="7">
        <v>-49.614239859999998</v>
      </c>
      <c r="K245" s="7">
        <v>60.004787526999998</v>
      </c>
      <c r="L245" s="7">
        <v>-59.581050210000001</v>
      </c>
      <c r="M245" s="7">
        <v>-218.6967645</v>
      </c>
      <c r="N245" s="7">
        <v>14.902143795000001</v>
      </c>
      <c r="O245" s="7">
        <v>122.29637145</v>
      </c>
      <c r="P245" s="7">
        <v>0</v>
      </c>
    </row>
    <row r="246" spans="1:16" s="7" customFormat="1" ht="15">
      <c r="A246" s="164" t="s">
        <v>226</v>
      </c>
      <c r="B246" s="7">
        <v>684.87242749999996</v>
      </c>
      <c r="C246" s="7">
        <v>151.34754407</v>
      </c>
      <c r="D246" s="7">
        <v>-227.18889469999999</v>
      </c>
      <c r="E246" s="7">
        <v>1.6318917266999999</v>
      </c>
      <c r="F246" s="7">
        <v>-231.29224300000001</v>
      </c>
      <c r="G246" s="7">
        <v>-69.204530770000005</v>
      </c>
      <c r="H246" s="7">
        <v>10.187584258999999</v>
      </c>
      <c r="I246" s="7">
        <v>4.0996562908999996</v>
      </c>
      <c r="J246" s="7">
        <v>-42.227556720000003</v>
      </c>
      <c r="K246" s="7">
        <v>87.392018574000005</v>
      </c>
      <c r="L246" s="7">
        <v>-38.780585860000002</v>
      </c>
      <c r="M246" s="7">
        <v>-74.529725189999994</v>
      </c>
      <c r="N246" s="7">
        <v>-30.385670900000001</v>
      </c>
      <c r="O246" s="7">
        <v>-0.32305334699999999</v>
      </c>
      <c r="P246" s="7">
        <v>120.43653612</v>
      </c>
    </row>
    <row r="247" spans="1:16" s="7" customFormat="1" ht="15">
      <c r="A247" s="164" t="s">
        <v>85</v>
      </c>
      <c r="B247" s="7">
        <v>590.66332194999995</v>
      </c>
      <c r="C247" s="7">
        <v>54.127968694000003</v>
      </c>
      <c r="D247" s="7">
        <v>-87.379937620000007</v>
      </c>
      <c r="E247" s="7">
        <v>-124.0401991</v>
      </c>
      <c r="F247" s="7">
        <v>21.193529852000001</v>
      </c>
      <c r="G247" s="7">
        <v>6.7267284973999999</v>
      </c>
      <c r="H247" s="7">
        <v>20.764421546000001</v>
      </c>
      <c r="I247" s="7">
        <v>14.698208481</v>
      </c>
      <c r="J247" s="7">
        <v>50.374607992999998</v>
      </c>
      <c r="K247" s="7">
        <v>-58.154094469999997</v>
      </c>
      <c r="L247" s="7">
        <v>-50.749408760000001</v>
      </c>
      <c r="M247" s="7">
        <v>-242.15619910000001</v>
      </c>
      <c r="N247" s="7">
        <v>-84.970320639999997</v>
      </c>
      <c r="O247" s="7">
        <v>155.06518188000001</v>
      </c>
      <c r="P247" s="7">
        <v>91.761794448000003</v>
      </c>
    </row>
    <row r="248" spans="1:16" s="7" customFormat="1" ht="15">
      <c r="A248" s="164" t="s">
        <v>94</v>
      </c>
      <c r="B248" s="7">
        <v>474.74004414000001</v>
      </c>
      <c r="C248" s="7">
        <v>108.95290694000001</v>
      </c>
      <c r="D248" s="7">
        <v>-41.7766989</v>
      </c>
      <c r="E248" s="7">
        <v>-25.46337552</v>
      </c>
      <c r="F248" s="7">
        <v>-16.090007700000001</v>
      </c>
      <c r="G248" s="7">
        <v>-18.853303059999998</v>
      </c>
      <c r="H248" s="7">
        <v>0.19506451089999999</v>
      </c>
      <c r="I248" s="7">
        <v>12.733337993999999</v>
      </c>
      <c r="J248" s="7">
        <v>3.0520493360000001</v>
      </c>
      <c r="K248" s="7">
        <v>-2.4804511850000002</v>
      </c>
      <c r="L248" s="7">
        <v>15.549725731000001</v>
      </c>
      <c r="M248" s="7">
        <v>-0.89672272600000003</v>
      </c>
      <c r="N248" s="7">
        <v>-12.48312458</v>
      </c>
      <c r="O248" s="7">
        <v>-1.827145112</v>
      </c>
      <c r="P248" s="7">
        <v>6.2553631546000004</v>
      </c>
    </row>
    <row r="249" spans="1:16" s="7" customFormat="1" ht="15">
      <c r="A249" s="164" t="s">
        <v>223</v>
      </c>
      <c r="B249" s="7">
        <v>1617.2401072</v>
      </c>
      <c r="C249" s="7">
        <v>38.583281454999998</v>
      </c>
      <c r="D249" s="7">
        <v>-487.38063190000003</v>
      </c>
      <c r="E249" s="7">
        <v>170.17086502000001</v>
      </c>
      <c r="F249" s="7">
        <v>0</v>
      </c>
      <c r="G249" s="7">
        <v>-22.992884969999999</v>
      </c>
      <c r="H249" s="7">
        <v>70.164454121000006</v>
      </c>
      <c r="I249" s="7">
        <v>-55.420656659999999</v>
      </c>
      <c r="J249" s="7">
        <v>0</v>
      </c>
      <c r="K249" s="7">
        <v>0</v>
      </c>
      <c r="L249" s="7">
        <v>0</v>
      </c>
      <c r="M249" s="7">
        <v>-109.274331</v>
      </c>
      <c r="N249" s="7">
        <v>121.17573145</v>
      </c>
      <c r="O249" s="7">
        <v>-121.2615425</v>
      </c>
      <c r="P249" s="7">
        <v>0</v>
      </c>
    </row>
    <row r="250" spans="1:16" s="7" customFormat="1" ht="15">
      <c r="A250" s="164" t="s">
        <v>220</v>
      </c>
      <c r="B250" s="7">
        <v>1818.0000035</v>
      </c>
      <c r="C250" s="7">
        <v>-6.0587745100000001</v>
      </c>
      <c r="D250" s="7">
        <v>-696.28533389999996</v>
      </c>
      <c r="E250" s="7">
        <v>204.80391627</v>
      </c>
      <c r="F250" s="7">
        <v>0</v>
      </c>
      <c r="G250" s="7">
        <v>5.8977760922</v>
      </c>
      <c r="H250" s="7">
        <v>-21.849318589999999</v>
      </c>
      <c r="I250" s="7">
        <v>72.923145833000007</v>
      </c>
      <c r="J250" s="7">
        <v>0</v>
      </c>
      <c r="K250" s="7">
        <v>0</v>
      </c>
      <c r="L250" s="7">
        <v>0</v>
      </c>
      <c r="M250" s="7">
        <v>-63.272032869999997</v>
      </c>
      <c r="N250" s="7">
        <v>195.34462744999999</v>
      </c>
      <c r="O250" s="7">
        <v>-6.1275392159999997</v>
      </c>
      <c r="P250" s="7">
        <v>0</v>
      </c>
    </row>
    <row r="251" spans="1:16" s="7" customFormat="1" ht="15">
      <c r="A251" s="164" t="s">
        <v>171</v>
      </c>
      <c r="B251" s="7">
        <v>544.59835706000001</v>
      </c>
      <c r="C251" s="7">
        <v>65.712237036999994</v>
      </c>
      <c r="D251" s="7">
        <v>-35.622959260000002</v>
      </c>
      <c r="E251" s="7">
        <v>-29.753392590000001</v>
      </c>
      <c r="F251" s="7">
        <v>-57.459688890000002</v>
      </c>
      <c r="G251" s="7">
        <v>-18.486933329999999</v>
      </c>
      <c r="H251" s="7">
        <v>-8.0178583329999995</v>
      </c>
      <c r="I251" s="7">
        <v>7.7744833333000001</v>
      </c>
      <c r="J251" s="7">
        <v>-20.287420829999999</v>
      </c>
      <c r="K251" s="7">
        <v>-27.4619125</v>
      </c>
      <c r="L251" s="7">
        <v>5.3354958333000004</v>
      </c>
      <c r="M251" s="7">
        <v>-16.44602768</v>
      </c>
      <c r="N251" s="7">
        <v>-34.855861019999999</v>
      </c>
      <c r="O251" s="7">
        <v>4.3599723164000004</v>
      </c>
      <c r="P251" s="7">
        <v>-42.17652768</v>
      </c>
    </row>
    <row r="252" spans="1:16" s="7" customFormat="1">
      <c r="A252" s="7" t="s">
        <v>221</v>
      </c>
      <c r="B252">
        <v>512.43427299436223</v>
      </c>
      <c r="C252">
        <v>144.98137012118639</v>
      </c>
      <c r="D252">
        <v>-179.6361100524644</v>
      </c>
      <c r="E252">
        <v>10.41189656341632</v>
      </c>
      <c r="F252">
        <v>-169.4109964834042</v>
      </c>
      <c r="G252">
        <v>-68.710323701531067</v>
      </c>
      <c r="H252">
        <v>38.255415807265017</v>
      </c>
      <c r="I252">
        <v>32.006326108143327</v>
      </c>
      <c r="J252">
        <v>-20.604378245671029</v>
      </c>
      <c r="K252">
        <v>42.967953995651868</v>
      </c>
      <c r="L252">
        <v>-23.905781010156261</v>
      </c>
      <c r="M252">
        <v>31.22081624637504</v>
      </c>
      <c r="N252">
        <v>14.372431998407571</v>
      </c>
      <c r="O252">
        <v>9.5094353866795078</v>
      </c>
      <c r="P252">
        <v>116.6931009906185</v>
      </c>
    </row>
    <row r="253" spans="1:16" s="7" customFormat="1" ht="15">
      <c r="A253" s="164" t="s">
        <v>231</v>
      </c>
      <c r="B253" s="7">
        <v>1099.3080144</v>
      </c>
      <c r="C253" s="7">
        <v>69.990897650999997</v>
      </c>
      <c r="D253" s="7">
        <v>-376.78379169999999</v>
      </c>
      <c r="E253" s="7">
        <v>79.856913663</v>
      </c>
      <c r="F253" s="7">
        <v>73.481091431999999</v>
      </c>
      <c r="G253" s="7">
        <v>-21.347432420000001</v>
      </c>
      <c r="H253" s="7">
        <v>-28.444472609999998</v>
      </c>
      <c r="I253" s="7">
        <v>-25.258729689999999</v>
      </c>
      <c r="J253" s="7">
        <v>13.846096604</v>
      </c>
      <c r="K253" s="7">
        <v>-52.818701560000001</v>
      </c>
      <c r="L253" s="7">
        <v>1.3499380278999999</v>
      </c>
      <c r="M253" s="7">
        <v>-163.13584019999999</v>
      </c>
      <c r="N253" s="7">
        <v>68.636387393999996</v>
      </c>
      <c r="O253" s="7">
        <v>69.432570552000001</v>
      </c>
      <c r="P253" s="7">
        <v>-14.087334200000001</v>
      </c>
    </row>
    <row r="254" spans="1:16" s="7" customFormat="1" ht="15">
      <c r="A254" s="164" t="s">
        <v>232</v>
      </c>
      <c r="B254" s="7">
        <v>1171.7387194999999</v>
      </c>
      <c r="C254" s="7">
        <v>118.31699466000001</v>
      </c>
      <c r="D254" s="7">
        <v>-335.72765889999999</v>
      </c>
      <c r="E254" s="7">
        <v>70.297920449000003</v>
      </c>
      <c r="F254" s="7">
        <v>44.804083523000003</v>
      </c>
      <c r="G254" s="7">
        <v>-117.3101075</v>
      </c>
      <c r="H254" s="7">
        <v>0.3531456093</v>
      </c>
      <c r="I254" s="7">
        <v>-21.48555322</v>
      </c>
      <c r="J254" s="7">
        <v>38.893705541999999</v>
      </c>
      <c r="K254" s="7">
        <v>2.2099805074000001</v>
      </c>
      <c r="L254" s="7">
        <v>-16.60924954</v>
      </c>
      <c r="M254" s="7">
        <v>-81.422292709999994</v>
      </c>
      <c r="N254" s="7">
        <v>42.156573315000003</v>
      </c>
      <c r="O254" s="7">
        <v>-58.275186570000002</v>
      </c>
      <c r="P254" s="7">
        <v>-55.234083929999997</v>
      </c>
    </row>
    <row r="255" spans="1:16" s="7" customFormat="1" ht="14">
      <c r="A255" s="34"/>
    </row>
    <row r="256" spans="1:16" s="7" customFormat="1" ht="14">
      <c r="A256" s="34"/>
    </row>
    <row r="257" spans="1:16" s="7" customFormat="1" ht="14">
      <c r="A257" s="34"/>
    </row>
    <row r="258" spans="1:16" s="7" customFormat="1" ht="14">
      <c r="A258" s="34"/>
    </row>
    <row r="259" spans="1:16" s="7" customFormat="1" ht="14">
      <c r="A259" s="34"/>
    </row>
    <row r="260" spans="1:16" s="7" customFormat="1" ht="14">
      <c r="A260" s="34"/>
    </row>
    <row r="261" spans="1:16" s="7" customFormat="1" ht="14">
      <c r="A261" s="34"/>
    </row>
    <row r="262" spans="1:16" s="7" customFormat="1" ht="14">
      <c r="A262" s="34"/>
    </row>
    <row r="263" spans="1:16" s="7" customFormat="1">
      <c r="A263" s="7" t="s">
        <v>183</v>
      </c>
    </row>
    <row r="264" spans="1:16" s="7" customFormat="1">
      <c r="A264" s="169" t="s">
        <v>122</v>
      </c>
      <c r="B264" s="7" t="s">
        <v>50</v>
      </c>
      <c r="C264" s="7" t="s">
        <v>26</v>
      </c>
      <c r="D264" s="7" t="s">
        <v>28</v>
      </c>
      <c r="E264" s="7" t="s">
        <v>34</v>
      </c>
      <c r="F264" s="7" t="s">
        <v>27</v>
      </c>
      <c r="G264" s="7" t="s">
        <v>52</v>
      </c>
      <c r="H264" s="7" t="s">
        <v>51</v>
      </c>
      <c r="I264" s="7" t="s">
        <v>53</v>
      </c>
      <c r="J264" s="7" t="s">
        <v>54</v>
      </c>
      <c r="K264" s="7" t="s">
        <v>55</v>
      </c>
      <c r="L264" s="7" t="s">
        <v>56</v>
      </c>
      <c r="M264" s="7" t="s">
        <v>57</v>
      </c>
      <c r="N264" s="7" t="s">
        <v>58</v>
      </c>
      <c r="O264" s="7" t="s">
        <v>59</v>
      </c>
      <c r="P264" s="7" t="s">
        <v>60</v>
      </c>
    </row>
    <row r="265" spans="1:16" s="7" customFormat="1">
      <c r="A265" s="7" t="s">
        <v>105</v>
      </c>
      <c r="B265">
        <v>12.829813559</v>
      </c>
      <c r="C265">
        <v>-3.4458888889999999</v>
      </c>
      <c r="D265">
        <v>6.0168888888999996</v>
      </c>
      <c r="E265">
        <v>0.49877777779999999</v>
      </c>
      <c r="F265">
        <v>11.765166667000001</v>
      </c>
      <c r="G265">
        <v>-0.58956249999999999</v>
      </c>
      <c r="H265">
        <v>-0.51981250000000001</v>
      </c>
      <c r="I265">
        <v>3.2437500000000001E-2</v>
      </c>
      <c r="J265">
        <v>-2.4668125000000001</v>
      </c>
      <c r="K265">
        <v>2.8744375</v>
      </c>
      <c r="L265">
        <v>1.8526875</v>
      </c>
      <c r="M265">
        <v>1.8307175141000001</v>
      </c>
      <c r="N265">
        <v>9.0717514099999993E-2</v>
      </c>
      <c r="O265">
        <v>-0.31928248599999998</v>
      </c>
      <c r="P265">
        <v>2.9382175141000002</v>
      </c>
    </row>
    <row r="266" spans="1:16" s="7" customFormat="1">
      <c r="A266" s="7" t="s">
        <v>84</v>
      </c>
      <c r="B266">
        <v>14.305937127</v>
      </c>
      <c r="C266">
        <v>-3.8233221660000001</v>
      </c>
      <c r="D266">
        <v>6.3481208564999996</v>
      </c>
      <c r="E266">
        <v>1.2594098713999999</v>
      </c>
      <c r="F266">
        <v>12.849533836000001</v>
      </c>
      <c r="G266">
        <v>-1.096792416</v>
      </c>
      <c r="H266">
        <v>2.9361681000000001E-2</v>
      </c>
      <c r="I266">
        <v>-0.24463806299999999</v>
      </c>
      <c r="J266">
        <v>-3.090121511</v>
      </c>
      <c r="K266">
        <v>2.2643513539</v>
      </c>
      <c r="L266">
        <v>2.3896116456000001</v>
      </c>
      <c r="M266">
        <v>3.302282473</v>
      </c>
      <c r="N266">
        <v>0.32077736600000001</v>
      </c>
      <c r="O266">
        <v>-0.35791763399999998</v>
      </c>
      <c r="P266">
        <v>2.4260085309999999</v>
      </c>
    </row>
    <row r="267" spans="1:16" s="7" customFormat="1">
      <c r="A267" s="7" t="s">
        <v>82</v>
      </c>
      <c r="B267">
        <v>16.110514628000001</v>
      </c>
      <c r="C267">
        <v>-6.6486886109999999</v>
      </c>
      <c r="D267">
        <v>7.8178339350000003</v>
      </c>
      <c r="E267">
        <v>0.55497896160000004</v>
      </c>
      <c r="F267">
        <v>9.9479565559999994</v>
      </c>
      <c r="G267">
        <v>-1.5263301929999999</v>
      </c>
      <c r="H267">
        <v>-0.38434217300000001</v>
      </c>
      <c r="I267">
        <v>0.2859098336</v>
      </c>
      <c r="J267">
        <v>-1.6520326160000001</v>
      </c>
      <c r="K267">
        <v>2.6523377913999999</v>
      </c>
      <c r="L267">
        <v>1.0362045836</v>
      </c>
      <c r="M267">
        <v>6.4252147623999996</v>
      </c>
      <c r="N267">
        <v>-0.36279011100000003</v>
      </c>
      <c r="O267">
        <v>-1.2422624449999999</v>
      </c>
      <c r="P267">
        <v>1.7483865551</v>
      </c>
    </row>
    <row r="268" spans="1:16" s="7" customFormat="1">
      <c r="A268" s="7" t="s">
        <v>226</v>
      </c>
      <c r="B268" s="7">
        <v>14.272675155</v>
      </c>
      <c r="C268" s="7">
        <v>-1.5374381559999999</v>
      </c>
      <c r="D268" s="7">
        <v>7.4053570796999999</v>
      </c>
      <c r="E268" s="7">
        <v>0.64186958159999996</v>
      </c>
      <c r="F268" s="7">
        <v>5.4638877882000001</v>
      </c>
      <c r="G268" s="7">
        <v>4.4617789400000003E-2</v>
      </c>
      <c r="H268" s="7">
        <v>-0.55248315999999997</v>
      </c>
      <c r="I268" s="7">
        <v>-0.24582330199999999</v>
      </c>
      <c r="J268" s="7">
        <v>-1.2111258819999999</v>
      </c>
      <c r="K268" s="7">
        <v>1.4614514557</v>
      </c>
      <c r="L268" s="7">
        <v>0.87002992759999997</v>
      </c>
      <c r="M268" s="7">
        <v>-0.22191219200000001</v>
      </c>
      <c r="N268" s="7">
        <v>1.0716949524999999</v>
      </c>
      <c r="O268" s="7">
        <v>-3.2098968999999998E-2</v>
      </c>
      <c r="P268" s="7">
        <v>2.0995617393999999</v>
      </c>
    </row>
    <row r="269" spans="1:16" s="7" customFormat="1">
      <c r="A269" s="7" t="s">
        <v>85</v>
      </c>
      <c r="B269">
        <v>18.246711896000001</v>
      </c>
      <c r="C269">
        <v>-5.5253582210000003</v>
      </c>
      <c r="D269">
        <v>10.462539817</v>
      </c>
      <c r="E269">
        <v>0.59442752889999995</v>
      </c>
      <c r="F269">
        <v>6.5837653660999997</v>
      </c>
      <c r="G269">
        <v>-1.0026472179999999</v>
      </c>
      <c r="H269">
        <v>-0.39100071199999997</v>
      </c>
      <c r="I269">
        <v>-0.63434572899999997</v>
      </c>
      <c r="J269">
        <v>-3.2760527960000001</v>
      </c>
      <c r="K269">
        <v>3.925032646</v>
      </c>
      <c r="L269">
        <v>1.3770364794000001</v>
      </c>
      <c r="M269">
        <v>3.1592761398999998</v>
      </c>
      <c r="N269">
        <v>1.5166618879</v>
      </c>
      <c r="O269">
        <v>0.18789455790000001</v>
      </c>
      <c r="P269">
        <v>3.0439607229000001</v>
      </c>
    </row>
    <row r="270" spans="1:16" s="7" customFormat="1">
      <c r="A270" s="7" t="s">
        <v>94</v>
      </c>
      <c r="B270">
        <v>18.944263343999999</v>
      </c>
      <c r="C270">
        <v>-6.7522757789999996</v>
      </c>
      <c r="D270">
        <v>10.195134943999999</v>
      </c>
      <c r="E270">
        <v>-1.7730000370000001</v>
      </c>
      <c r="F270">
        <v>8.4180711490999993</v>
      </c>
      <c r="G270">
        <v>-1.217860417</v>
      </c>
      <c r="H270">
        <v>1.4037392076999999</v>
      </c>
      <c r="I270">
        <v>-0.96448587500000005</v>
      </c>
      <c r="J270">
        <v>-2.962515335</v>
      </c>
      <c r="K270">
        <v>4.4679277498000003</v>
      </c>
      <c r="L270">
        <v>-1.124719625</v>
      </c>
      <c r="M270">
        <v>2.7165237673</v>
      </c>
      <c r="N270">
        <v>1.6514095973</v>
      </c>
      <c r="O270">
        <v>0.61347943230000002</v>
      </c>
      <c r="P270">
        <v>1.6507387623000001</v>
      </c>
    </row>
    <row r="271" spans="1:16" s="7" customFormat="1">
      <c r="A271" s="7" t="s">
        <v>123</v>
      </c>
      <c r="B271">
        <v>12.981614618</v>
      </c>
      <c r="C271">
        <v>-5.8333006579999997</v>
      </c>
      <c r="D271">
        <v>8.0024463149000002</v>
      </c>
      <c r="E271">
        <v>0.34762834929999997</v>
      </c>
      <c r="F271">
        <v>14.193920816</v>
      </c>
      <c r="G271">
        <v>-1.900799785</v>
      </c>
      <c r="H271">
        <v>0.37019112209999999</v>
      </c>
      <c r="I271">
        <v>-0.43663369699999999</v>
      </c>
      <c r="J271">
        <v>-5.623381137</v>
      </c>
      <c r="K271">
        <v>4.3428516351999997</v>
      </c>
      <c r="L271">
        <v>1.2063513018000001</v>
      </c>
      <c r="M271">
        <v>3.4956393491000002</v>
      </c>
      <c r="N271">
        <v>2.0858292933000002</v>
      </c>
      <c r="O271">
        <v>0.85852162679999999</v>
      </c>
      <c r="P271">
        <v>2.6107221267999998</v>
      </c>
    </row>
    <row r="272" spans="1:16" s="7" customFormat="1">
      <c r="A272" s="7" t="s">
        <v>124</v>
      </c>
      <c r="B272">
        <v>14.753198352</v>
      </c>
      <c r="C272">
        <v>-5.985391259</v>
      </c>
      <c r="D272">
        <v>8.0091987726999996</v>
      </c>
      <c r="E272">
        <v>0.84128860569999997</v>
      </c>
      <c r="F272">
        <v>13.317366751</v>
      </c>
      <c r="G272">
        <v>-1.561509236</v>
      </c>
      <c r="H272">
        <v>-0.39705694000000002</v>
      </c>
      <c r="I272">
        <v>-4.2997395000000001E-2</v>
      </c>
      <c r="J272">
        <v>-4.4046530019999999</v>
      </c>
      <c r="K272">
        <v>3.9477741458</v>
      </c>
      <c r="L272">
        <v>1.1571144366999999</v>
      </c>
      <c r="M272">
        <v>4.0674583733</v>
      </c>
      <c r="N272">
        <v>1.5791860875999999</v>
      </c>
      <c r="O272">
        <v>1.2884727575999999</v>
      </c>
      <c r="P272">
        <v>2.4197692541000002</v>
      </c>
    </row>
    <row r="273" spans="1:16" s="7" customFormat="1">
      <c r="A273" s="7" t="s">
        <v>227</v>
      </c>
      <c r="B273">
        <v>5.1591863665873534</v>
      </c>
      <c r="C273">
        <v>-0.94615348842679592</v>
      </c>
      <c r="D273">
        <v>5.6736063387648121</v>
      </c>
      <c r="E273">
        <v>-0.45867059373058922</v>
      </c>
      <c r="F273">
        <v>2.9843469832585452</v>
      </c>
      <c r="G273">
        <v>-0.38343546693483421</v>
      </c>
      <c r="H273">
        <v>-0.33761088739242928</v>
      </c>
      <c r="I273">
        <v>-0.15913773619481239</v>
      </c>
      <c r="J273">
        <v>-1.0131261666356359</v>
      </c>
      <c r="K273">
        <v>0.96530313248996369</v>
      </c>
      <c r="L273">
        <v>0.54715997155747087</v>
      </c>
      <c r="M273">
        <v>6.1057624480265187E-2</v>
      </c>
      <c r="N273">
        <v>0.93785849641482077</v>
      </c>
      <c r="O273">
        <v>-2.982365687267396E-3</v>
      </c>
      <c r="P273">
        <v>5.1591863665873596</v>
      </c>
    </row>
    <row r="274" spans="1:16" s="7" customFormat="1">
      <c r="A274" s="7" t="s">
        <v>90</v>
      </c>
      <c r="B274">
        <v>6.7955127571</v>
      </c>
      <c r="C274">
        <v>0.16977374070000001</v>
      </c>
      <c r="D274">
        <v>5.3290549814999997</v>
      </c>
      <c r="E274">
        <v>-1.1335465929999999</v>
      </c>
      <c r="F274">
        <v>4.7546889815000002</v>
      </c>
      <c r="G274">
        <v>0.18655885420000001</v>
      </c>
      <c r="H274">
        <v>0.1514333125</v>
      </c>
      <c r="I274">
        <v>-0.49668518699999997</v>
      </c>
      <c r="J274">
        <v>-1.1366211879999999</v>
      </c>
      <c r="K274">
        <v>1.8709139792</v>
      </c>
      <c r="L274">
        <v>0.50402652079999999</v>
      </c>
      <c r="M274">
        <v>-0.14365977199999999</v>
      </c>
      <c r="N274">
        <v>0.97682639449999997</v>
      </c>
      <c r="O274">
        <v>0.28419956120000001</v>
      </c>
      <c r="P274">
        <v>1.5699617279</v>
      </c>
    </row>
    <row r="275" spans="1:16" s="7" customFormat="1">
      <c r="A275" s="7" t="s">
        <v>169</v>
      </c>
      <c r="B275">
        <v>6.1290797512999999</v>
      </c>
      <c r="C275">
        <v>-0.28723136999999999</v>
      </c>
      <c r="D275">
        <v>5.4576151483000004</v>
      </c>
      <c r="E275">
        <v>-0.88636483300000002</v>
      </c>
      <c r="F275">
        <v>4.8854923521</v>
      </c>
      <c r="G275">
        <v>0.32406393779999998</v>
      </c>
      <c r="H275">
        <v>0.25428647900000001</v>
      </c>
      <c r="I275">
        <v>-0.33018006300000002</v>
      </c>
      <c r="J275">
        <v>-2.000596646</v>
      </c>
      <c r="K275">
        <v>1.5152539794</v>
      </c>
      <c r="L275">
        <v>0.44851977059999998</v>
      </c>
      <c r="M275">
        <v>2.0752819565</v>
      </c>
      <c r="N275">
        <v>0.77546795700000004</v>
      </c>
      <c r="O275">
        <v>-1.5708759999999999E-3</v>
      </c>
      <c r="P275">
        <v>1.0791677900000001</v>
      </c>
    </row>
    <row r="276" spans="1:16" s="7" customFormat="1">
      <c r="A276" s="7" t="s">
        <v>139</v>
      </c>
      <c r="B276">
        <v>5.9761777036723318</v>
      </c>
      <c r="C276">
        <v>0.18059826064076989</v>
      </c>
      <c r="D276">
        <v>6.4390104211135188</v>
      </c>
      <c r="E276">
        <v>-0.5922403372913505</v>
      </c>
      <c r="F276">
        <v>3.2235544002327852</v>
      </c>
      <c r="G276">
        <v>-0.49416683310842119</v>
      </c>
      <c r="H276">
        <v>0.78423580349789801</v>
      </c>
      <c r="I276">
        <v>-0.90917738557716399</v>
      </c>
      <c r="J276">
        <v>-0.42190735725693751</v>
      </c>
      <c r="K276">
        <v>0.85016305522057789</v>
      </c>
      <c r="L276">
        <v>0.60487194106556619</v>
      </c>
      <c r="M276">
        <v>1.1233674535849589</v>
      </c>
      <c r="N276">
        <v>0.9975687837716869</v>
      </c>
      <c r="O276">
        <v>0.50365023151743049</v>
      </c>
      <c r="P276">
        <v>5.9761777036723469</v>
      </c>
    </row>
    <row r="277" spans="1:16" s="7" customFormat="1">
      <c r="A277" s="7" t="s">
        <v>142</v>
      </c>
      <c r="B277" s="7">
        <v>16.579871000000001</v>
      </c>
      <c r="C277">
        <v>0</v>
      </c>
      <c r="D277" s="7">
        <v>8.9428461749999997</v>
      </c>
      <c r="E277" s="7">
        <v>-0.31586095800000002</v>
      </c>
      <c r="F277" s="7">
        <v>7.8103552916999996</v>
      </c>
      <c r="G277">
        <v>0</v>
      </c>
      <c r="H277">
        <v>0</v>
      </c>
      <c r="I277" s="7">
        <v>0.1164904542</v>
      </c>
      <c r="J277">
        <v>0</v>
      </c>
      <c r="K277">
        <v>2.4433754749999999</v>
      </c>
      <c r="L277">
        <v>0.21253121250000001</v>
      </c>
      <c r="M277">
        <v>0</v>
      </c>
      <c r="N277">
        <v>2.5193659041999998</v>
      </c>
      <c r="O277">
        <v>-0.28125244999999999</v>
      </c>
      <c r="P277">
        <v>-0.68641609599999998</v>
      </c>
    </row>
    <row r="278" spans="1:16" s="7" customFormat="1">
      <c r="A278" s="7" t="s">
        <v>134</v>
      </c>
      <c r="B278">
        <v>3.0893608493159301</v>
      </c>
      <c r="C278">
        <v>0.42675511503774399</v>
      </c>
      <c r="D278">
        <v>4.1650954783805503</v>
      </c>
      <c r="E278">
        <v>-1.7486273108900601</v>
      </c>
      <c r="F278">
        <v>0</v>
      </c>
      <c r="G278">
        <v>0.35635988661466</v>
      </c>
      <c r="H278">
        <v>-4.4968758516237203E-2</v>
      </c>
      <c r="I278">
        <v>-1.38961131527369</v>
      </c>
      <c r="J278">
        <v>0</v>
      </c>
      <c r="K278">
        <v>0</v>
      </c>
      <c r="L278">
        <v>0</v>
      </c>
      <c r="M278">
        <v>0.151437927781673</v>
      </c>
      <c r="N278">
        <v>1.4017101803407599</v>
      </c>
      <c r="O278">
        <v>0.56764734277876305</v>
      </c>
      <c r="P278">
        <v>0</v>
      </c>
    </row>
    <row r="279" spans="1:16" s="7" customFormat="1">
      <c r="A279" s="7" t="s">
        <v>135</v>
      </c>
      <c r="B279">
        <v>2.7867372860730999</v>
      </c>
      <c r="C279">
        <v>0.47613190817665202</v>
      </c>
      <c r="D279">
        <v>3.3819864783645701</v>
      </c>
      <c r="E279">
        <v>-1.5504284333782099</v>
      </c>
      <c r="F279">
        <v>0</v>
      </c>
      <c r="G279">
        <v>0.68716580936834903</v>
      </c>
      <c r="H279">
        <v>-0.40807226202749702</v>
      </c>
      <c r="I279">
        <v>-1.11775292096659</v>
      </c>
      <c r="J279">
        <v>0</v>
      </c>
      <c r="K279">
        <v>0</v>
      </c>
      <c r="L279">
        <v>0</v>
      </c>
      <c r="M279">
        <v>-0.50870725457445498</v>
      </c>
      <c r="N279">
        <v>1.0173772143387001</v>
      </c>
      <c r="O279">
        <v>0.36566437892689402</v>
      </c>
      <c r="P279">
        <v>0</v>
      </c>
    </row>
    <row r="280" spans="1:16" s="7" customFormat="1">
      <c r="A280" s="7" t="s">
        <v>215</v>
      </c>
      <c r="B280">
        <v>0.9681576649381296</v>
      </c>
      <c r="C280">
        <v>0.43593998444057053</v>
      </c>
      <c r="D280">
        <v>1.870875525599681</v>
      </c>
      <c r="E280">
        <v>-0.82187908411969901</v>
      </c>
      <c r="F280">
        <v>-0.96815766493812738</v>
      </c>
      <c r="G280">
        <v>0.7878096776769361</v>
      </c>
      <c r="H280">
        <v>-0.21107336858557599</v>
      </c>
      <c r="I280">
        <v>-1.093539148437686</v>
      </c>
      <c r="J280">
        <v>-0.43593998444057119</v>
      </c>
      <c r="K280">
        <v>-1.870875525599679</v>
      </c>
      <c r="L280">
        <v>0.82187908411970034</v>
      </c>
      <c r="M280">
        <v>-0.35708797822478022</v>
      </c>
      <c r="N280">
        <v>1.445680569548035</v>
      </c>
      <c r="O280">
        <v>0.37656336287190328</v>
      </c>
      <c r="P280">
        <v>0.9681576649381276</v>
      </c>
    </row>
    <row r="281" spans="1:16" s="7" customFormat="1">
      <c r="A281" s="7" t="s">
        <v>214</v>
      </c>
      <c r="B281">
        <v>3.9343409648086261</v>
      </c>
      <c r="C281">
        <v>0.38744583073734878</v>
      </c>
      <c r="D281">
        <v>5.5352231052938228</v>
      </c>
      <c r="E281">
        <v>-1.6321038309796061</v>
      </c>
      <c r="F281">
        <v>1.4797067837678</v>
      </c>
      <c r="G281">
        <v>0.33148870361052429</v>
      </c>
      <c r="H281">
        <v>0.2358244988755587</v>
      </c>
      <c r="I281">
        <v>-0.64725493997428052</v>
      </c>
      <c r="J281">
        <v>-0.1502048675705242</v>
      </c>
      <c r="K281">
        <v>0.82297233556050997</v>
      </c>
      <c r="L281">
        <v>-0.23938996800890899</v>
      </c>
      <c r="M281">
        <v>-0.4243279478083205</v>
      </c>
      <c r="N281">
        <v>1.0150195949427121</v>
      </c>
      <c r="O281">
        <v>0.3319677525534438</v>
      </c>
      <c r="P281">
        <v>3.9343409648086398</v>
      </c>
    </row>
    <row r="282" spans="1:16" s="7" customFormat="1">
      <c r="A282" s="7" t="s">
        <v>218</v>
      </c>
      <c r="B282">
        <v>3.451484487489084</v>
      </c>
      <c r="C282">
        <v>1.1783753270061079</v>
      </c>
      <c r="D282">
        <v>6.1732034536554297</v>
      </c>
      <c r="E282">
        <v>-2.0843368320126809</v>
      </c>
      <c r="F282">
        <v>-3.45148448748906</v>
      </c>
      <c r="G282">
        <v>-2.916475081850979</v>
      </c>
      <c r="H282">
        <v>2.5303012067529029</v>
      </c>
      <c r="I282">
        <v>-3.36703145165073</v>
      </c>
      <c r="J282">
        <v>-1.178375327006115</v>
      </c>
      <c r="K282">
        <v>-6.1732034536554066</v>
      </c>
      <c r="L282">
        <v>2.0843368320126858</v>
      </c>
      <c r="M282">
        <v>6.1057492830108142</v>
      </c>
      <c r="N282">
        <v>4.1058011982481712</v>
      </c>
      <c r="O282">
        <v>2.0301599333996418</v>
      </c>
      <c r="P282">
        <v>3.4514844874890569</v>
      </c>
    </row>
    <row r="283" spans="1:16" s="7" customFormat="1">
      <c r="A283" s="7" t="s">
        <v>220</v>
      </c>
      <c r="B283">
        <v>0.92006144919741129</v>
      </c>
      <c r="C283">
        <v>0.40569335492302888</v>
      </c>
      <c r="D283">
        <v>1.9161816450769731</v>
      </c>
      <c r="E283">
        <v>-0.84951170984605795</v>
      </c>
      <c r="F283">
        <v>-0.92006144919741151</v>
      </c>
      <c r="G283">
        <v>0.55991499153660595</v>
      </c>
      <c r="H283">
        <v>0.44775406433290688</v>
      </c>
      <c r="I283">
        <v>-0.51793602202587374</v>
      </c>
      <c r="J283">
        <v>-0.40569335492302849</v>
      </c>
      <c r="K283">
        <v>-1.9161816450769731</v>
      </c>
      <c r="L283">
        <v>0.84951170984605806</v>
      </c>
      <c r="M283">
        <v>0.97360725154606698</v>
      </c>
      <c r="N283">
        <v>0.85254340932509276</v>
      </c>
      <c r="O283">
        <v>0.1112232300477602</v>
      </c>
      <c r="P283">
        <v>0.92006144919741151</v>
      </c>
    </row>
    <row r="284" spans="1:16" s="7" customFormat="1" ht="15">
      <c r="A284" s="164" t="s">
        <v>223</v>
      </c>
      <c r="B284">
        <v>1.459431964751986</v>
      </c>
      <c r="C284">
        <v>0.8818399914118874</v>
      </c>
      <c r="D284">
        <v>2.238024666218382</v>
      </c>
      <c r="E284">
        <v>-0.96428490890983953</v>
      </c>
      <c r="F284">
        <v>-1.4594319647519849</v>
      </c>
      <c r="G284">
        <v>1.4111489972571001</v>
      </c>
      <c r="H284">
        <v>-0.37223038135594438</v>
      </c>
      <c r="I284">
        <v>-1.135015606474203</v>
      </c>
      <c r="J284">
        <v>-0.88183999141188907</v>
      </c>
      <c r="K284">
        <v>-2.2380246662183811</v>
      </c>
      <c r="L284">
        <v>0.96428490890983931</v>
      </c>
      <c r="M284">
        <v>0.35912382119547043</v>
      </c>
      <c r="N284">
        <v>1.4594319647519849</v>
      </c>
      <c r="O284">
        <v>-0.1576898924454633</v>
      </c>
      <c r="P284">
        <v>1.4594319647519849</v>
      </c>
    </row>
    <row r="285" spans="1:16" s="7" customFormat="1" ht="15">
      <c r="A285" s="164" t="s">
        <v>221</v>
      </c>
      <c r="B285">
        <v>18.19239946192825</v>
      </c>
      <c r="C285">
        <v>-2.6819622831454781</v>
      </c>
      <c r="D285">
        <v>9.3676978825131254</v>
      </c>
      <c r="E285">
        <v>-0.88880135642533209</v>
      </c>
      <c r="F285">
        <v>5.943911925760653</v>
      </c>
      <c r="G285">
        <v>-1.4996604382036489</v>
      </c>
      <c r="H285">
        <v>-0.44409560173016532</v>
      </c>
      <c r="I285">
        <v>-5.4996004420381717E-2</v>
      </c>
      <c r="J285">
        <v>-2.0286587272834131</v>
      </c>
      <c r="K285">
        <v>2.1319850657628501</v>
      </c>
      <c r="L285">
        <v>0.88297032013698029</v>
      </c>
      <c r="M285">
        <v>-0.27892951369967389</v>
      </c>
      <c r="N285">
        <v>0.94744522268560072</v>
      </c>
      <c r="O285">
        <v>-0.3176195199645136</v>
      </c>
      <c r="P285">
        <v>-1.30019313817039</v>
      </c>
    </row>
    <row r="286" spans="1:16" s="7" customFormat="1" ht="15">
      <c r="A286" s="164" t="s">
        <v>222</v>
      </c>
      <c r="B286">
        <v>4.6560651976865417</v>
      </c>
      <c r="C286">
        <v>1.1655058074543969</v>
      </c>
      <c r="D286">
        <v>8.0671907991045764</v>
      </c>
      <c r="E286">
        <v>-0.94019885174731266</v>
      </c>
      <c r="F286">
        <v>1.147625844806216</v>
      </c>
      <c r="G286">
        <v>-0.36725694435085199</v>
      </c>
      <c r="H286">
        <v>1.3467662624463159</v>
      </c>
      <c r="I286">
        <v>0.11371279362392391</v>
      </c>
      <c r="J286">
        <v>0.2296847867265894</v>
      </c>
      <c r="K286">
        <v>0.79812168073623035</v>
      </c>
      <c r="L286">
        <v>-0.1478005690235564</v>
      </c>
      <c r="M286">
        <v>0.88876542313251639</v>
      </c>
      <c r="N286">
        <v>2.147465440612796</v>
      </c>
      <c r="O286">
        <v>-1.2433063263402711E-2</v>
      </c>
      <c r="P286">
        <v>4.6560651976865497</v>
      </c>
    </row>
    <row r="287" spans="1:16" s="7" customFormat="1" ht="15">
      <c r="A287" s="164" t="s">
        <v>224</v>
      </c>
      <c r="B287">
        <v>1.3580983694381319</v>
      </c>
      <c r="C287">
        <v>0.59229204341314801</v>
      </c>
      <c r="D287">
        <v>2.5519369450366511</v>
      </c>
      <c r="E287">
        <v>-1.0388060576293969</v>
      </c>
      <c r="F287">
        <v>-1.358098369438133</v>
      </c>
      <c r="G287">
        <v>0.59482176425847311</v>
      </c>
      <c r="H287">
        <v>-0.29655299419388093</v>
      </c>
      <c r="I287">
        <v>-1.167345760675732</v>
      </c>
      <c r="J287">
        <v>-0.59229204341314801</v>
      </c>
      <c r="K287">
        <v>-2.551936945036648</v>
      </c>
      <c r="L287">
        <v>1.0388060576293969</v>
      </c>
      <c r="M287">
        <v>0.19848473260756519</v>
      </c>
      <c r="N287">
        <v>1.6009137881152431</v>
      </c>
      <c r="O287">
        <v>0.46967132109004728</v>
      </c>
      <c r="P287">
        <v>1.3580983694381319</v>
      </c>
    </row>
    <row r="288" spans="1:16" s="7" customFormat="1" ht="14">
      <c r="A288" s="34"/>
    </row>
    <row r="289" spans="1:16" s="7" customFormat="1" ht="14">
      <c r="A289" s="34"/>
    </row>
    <row r="290" spans="1:16" s="7" customFormat="1" ht="14">
      <c r="A290" s="34"/>
    </row>
    <row r="291" spans="1:16" s="7" customFormat="1" ht="15">
      <c r="A291" s="164" t="s">
        <v>184</v>
      </c>
    </row>
    <row r="292" spans="1:16" s="7" customFormat="1" ht="15">
      <c r="A292" s="164" t="s">
        <v>122</v>
      </c>
      <c r="B292" s="7" t="s">
        <v>50</v>
      </c>
      <c r="C292" s="7" t="s">
        <v>26</v>
      </c>
      <c r="D292" s="7" t="s">
        <v>28</v>
      </c>
      <c r="E292" s="7" t="s">
        <v>34</v>
      </c>
      <c r="F292" s="7" t="s">
        <v>27</v>
      </c>
      <c r="G292" s="7" t="s">
        <v>52</v>
      </c>
      <c r="H292" s="7" t="s">
        <v>51</v>
      </c>
      <c r="I292" s="7" t="s">
        <v>53</v>
      </c>
      <c r="J292" s="7" t="s">
        <v>54</v>
      </c>
      <c r="K292" s="7" t="s">
        <v>55</v>
      </c>
      <c r="L292" s="7" t="s">
        <v>56</v>
      </c>
      <c r="M292" s="7" t="s">
        <v>57</v>
      </c>
      <c r="N292" s="7" t="s">
        <v>58</v>
      </c>
      <c r="O292" s="7" t="s">
        <v>59</v>
      </c>
      <c r="P292" s="7" t="s">
        <v>60</v>
      </c>
    </row>
    <row r="293" spans="1:16" s="7" customFormat="1" ht="15">
      <c r="A293" s="164" t="s">
        <v>105</v>
      </c>
      <c r="B293" s="7">
        <v>1.0917687091999999</v>
      </c>
      <c r="C293" s="7">
        <v>-0.69645595400000004</v>
      </c>
      <c r="D293" s="7">
        <v>2.0278922317000001</v>
      </c>
      <c r="E293" s="7">
        <v>0.21404369470000001</v>
      </c>
      <c r="F293" s="7">
        <v>1.8629170651</v>
      </c>
      <c r="G293" s="7">
        <v>-0.28403163599999998</v>
      </c>
      <c r="H293" s="7">
        <v>-8.6364594000000003E-2</v>
      </c>
      <c r="I293" s="7">
        <v>-0.13072501</v>
      </c>
      <c r="J293" s="7">
        <v>-0.43473524000000002</v>
      </c>
      <c r="K293" s="7">
        <v>1.5550456773000001</v>
      </c>
      <c r="L293" s="7">
        <v>8.6391552199999999E-2</v>
      </c>
      <c r="M293" s="7">
        <v>-4.5061882999999997E-2</v>
      </c>
      <c r="N293" s="7">
        <v>0.73832845079999998</v>
      </c>
      <c r="O293" s="7">
        <v>0.8033982838</v>
      </c>
      <c r="P293" s="7">
        <v>0.3428527838</v>
      </c>
    </row>
    <row r="294" spans="1:16" s="7" customFormat="1" ht="15">
      <c r="A294" s="164" t="s">
        <v>84</v>
      </c>
      <c r="B294" s="7">
        <v>1.3276092720999999</v>
      </c>
      <c r="C294" s="7">
        <v>-0.53409313300000005</v>
      </c>
      <c r="D294" s="7">
        <v>1.6965331963000001</v>
      </c>
      <c r="E294" s="7">
        <v>0.81339216950000004</v>
      </c>
      <c r="F294" s="7">
        <v>1.7087688526</v>
      </c>
      <c r="G294" s="7">
        <v>-0.21088362899999999</v>
      </c>
      <c r="H294" s="7">
        <v>-0.35304581000000002</v>
      </c>
      <c r="I294" s="7">
        <v>-0.61475212300000004</v>
      </c>
      <c r="J294" s="7">
        <v>0.20173519249999999</v>
      </c>
      <c r="K294" s="7">
        <v>1.0310609020999999</v>
      </c>
      <c r="L294" s="7">
        <v>0.49162967289999998</v>
      </c>
      <c r="M294" s="7">
        <v>0.48218651950000002</v>
      </c>
      <c r="N294" s="7">
        <v>1.0875482080000001</v>
      </c>
      <c r="O294" s="7">
        <v>0.3681728413</v>
      </c>
      <c r="P294" s="7">
        <v>0.60954170799999996</v>
      </c>
    </row>
    <row r="295" spans="1:16" s="7" customFormat="1" ht="15">
      <c r="A295" s="164" t="s">
        <v>82</v>
      </c>
      <c r="B295" s="7">
        <v>1.8410756711</v>
      </c>
      <c r="C295" s="7">
        <v>-2.7533813870000001</v>
      </c>
      <c r="D295" s="7">
        <v>2.6173992071000001</v>
      </c>
      <c r="E295" s="7">
        <v>0.85112871710000004</v>
      </c>
      <c r="F295" s="7">
        <v>2.3807453873000002</v>
      </c>
      <c r="G295" s="7">
        <v>-1.8655161330000001</v>
      </c>
      <c r="H295" s="7">
        <v>-1.0227879E-2</v>
      </c>
      <c r="I295" s="7">
        <v>-1.2122332309999999</v>
      </c>
      <c r="J295" s="7">
        <v>0.759907899</v>
      </c>
      <c r="K295" s="7">
        <v>0.97938149789999995</v>
      </c>
      <c r="L295" s="7">
        <v>0.5015091438</v>
      </c>
      <c r="M295" s="7">
        <v>2.6830681245000001</v>
      </c>
      <c r="N295" s="7">
        <v>1.4638414023999999</v>
      </c>
      <c r="O295" s="7">
        <v>0.51192723569999998</v>
      </c>
      <c r="P295" s="7">
        <v>1.4094567357000001</v>
      </c>
    </row>
    <row r="296" spans="1:16" s="7" customFormat="1" ht="15">
      <c r="A296" s="164" t="s">
        <v>90</v>
      </c>
      <c r="B296" s="7">
        <v>0.60742624460000005</v>
      </c>
      <c r="C296" s="7">
        <v>1.60570544E-2</v>
      </c>
      <c r="D296" s="7">
        <v>0.45679783280000003</v>
      </c>
      <c r="E296" s="7">
        <v>-0.19032354800000001</v>
      </c>
      <c r="F296" s="7">
        <v>0.1512796401</v>
      </c>
      <c r="G296" s="7">
        <v>0.15863136920000001</v>
      </c>
      <c r="H296" s="7">
        <v>1.1148668299999999E-2</v>
      </c>
      <c r="I296" s="7">
        <v>-0.21562921800000001</v>
      </c>
      <c r="J296" s="7">
        <v>-9.4194686E-2</v>
      </c>
      <c r="K296" s="7">
        <v>4.6555138099999997E-2</v>
      </c>
      <c r="L296" s="7">
        <v>-5.3362804E-2</v>
      </c>
      <c r="M296" s="7">
        <v>9.2302049499999997E-2</v>
      </c>
      <c r="N296" s="7">
        <v>0.2723849096</v>
      </c>
      <c r="O296" s="7">
        <v>-5.1847131999999997E-2</v>
      </c>
      <c r="P296" s="7">
        <v>-0.145772762</v>
      </c>
    </row>
    <row r="297" spans="1:16" s="7" customFormat="1" ht="15">
      <c r="A297" s="164" t="s">
        <v>123</v>
      </c>
      <c r="B297" s="7">
        <v>1.283137628</v>
      </c>
      <c r="C297" s="7">
        <v>-0.48739968500000003</v>
      </c>
      <c r="D297" s="7">
        <v>1.6248156203999999</v>
      </c>
      <c r="E297" s="7">
        <v>0.46112190330000002</v>
      </c>
      <c r="F297" s="7">
        <v>0.85325515870000002</v>
      </c>
      <c r="G297" s="7">
        <v>0.148489438</v>
      </c>
      <c r="H297" s="7">
        <v>1.5975345134000001</v>
      </c>
      <c r="I297" s="7">
        <v>0.4468170628</v>
      </c>
      <c r="J297" s="7">
        <v>-0.349321504</v>
      </c>
      <c r="K297" s="7">
        <v>0.59191981069999999</v>
      </c>
      <c r="L297" s="7">
        <v>0.35055094399999998</v>
      </c>
      <c r="M297" s="7">
        <v>-0.29460463799999997</v>
      </c>
      <c r="N297" s="7">
        <v>1.2904922732999999</v>
      </c>
      <c r="O297" s="7">
        <v>-0.674567213</v>
      </c>
      <c r="P297" s="7">
        <v>1.1416869113999999</v>
      </c>
    </row>
    <row r="298" spans="1:16" s="7" customFormat="1" ht="15">
      <c r="A298" s="164" t="s">
        <v>124</v>
      </c>
      <c r="B298" s="7">
        <v>1.6580247419</v>
      </c>
      <c r="C298" s="7">
        <v>-1.95626323</v>
      </c>
      <c r="D298" s="7">
        <v>1.6989490109000001</v>
      </c>
      <c r="E298" s="7">
        <v>2.3616517658</v>
      </c>
      <c r="F298" s="7">
        <v>-0.201458479</v>
      </c>
      <c r="G298" s="7">
        <v>0.70573919559999998</v>
      </c>
      <c r="H298" s="7">
        <v>0.89365205920000002</v>
      </c>
      <c r="I298" s="7">
        <v>-0.65015655299999997</v>
      </c>
      <c r="J298" s="7">
        <v>0.87260044039999995</v>
      </c>
      <c r="K298" s="7">
        <v>0.9769254342</v>
      </c>
      <c r="L298" s="7">
        <v>0.1537032676</v>
      </c>
      <c r="M298" s="7">
        <v>0.33447929030000001</v>
      </c>
      <c r="N298" s="7">
        <v>1.3895120408999999</v>
      </c>
      <c r="O298" s="7">
        <v>-1.3401188479999999</v>
      </c>
      <c r="P298" s="7">
        <v>-0.189297457</v>
      </c>
    </row>
    <row r="299" spans="1:16" s="7" customFormat="1" ht="15">
      <c r="A299" s="164" t="s">
        <v>169</v>
      </c>
      <c r="B299" s="7">
        <v>0.5682799583</v>
      </c>
      <c r="C299" s="7">
        <v>0.5569289476</v>
      </c>
      <c r="D299" s="7">
        <v>0.78623442619999995</v>
      </c>
      <c r="E299" s="7">
        <v>-9.8259351999999994E-2</v>
      </c>
      <c r="F299" s="7">
        <v>5.0173445300000001E-2</v>
      </c>
      <c r="G299" s="7">
        <v>0.71823002039999995</v>
      </c>
      <c r="H299" s="7">
        <v>-0.132247368</v>
      </c>
      <c r="I299" s="7">
        <v>-0.24856910199999999</v>
      </c>
      <c r="J299" s="7">
        <v>9.7083289000000003E-3</v>
      </c>
      <c r="K299" s="7">
        <v>-5.3742783000000002E-2</v>
      </c>
      <c r="L299" s="7">
        <v>-0.11393742499999999</v>
      </c>
      <c r="M299" s="7">
        <v>0.78387220209999997</v>
      </c>
      <c r="N299" s="7">
        <v>0.46221757899999999</v>
      </c>
      <c r="O299" s="7">
        <v>-0.15829323300000001</v>
      </c>
      <c r="P299" s="7">
        <v>-0.31648733299999998</v>
      </c>
    </row>
    <row r="300" spans="1:16" s="7" customFormat="1" ht="15">
      <c r="A300" s="164" t="s">
        <v>170</v>
      </c>
      <c r="B300" s="7">
        <v>0.42608932929999999</v>
      </c>
      <c r="C300" s="7">
        <v>-7.8443144000000006E-2</v>
      </c>
      <c r="D300" s="7">
        <v>0.51570090489999998</v>
      </c>
      <c r="E300" s="7">
        <v>-5.6830903000000002E-2</v>
      </c>
      <c r="F300" s="7">
        <v>0.21927587130000001</v>
      </c>
      <c r="G300" s="7">
        <v>7.2751211299999993E-2</v>
      </c>
      <c r="H300" s="7">
        <v>-7.6791527999999998E-2</v>
      </c>
      <c r="I300" s="7">
        <v>-0.22067457100000001</v>
      </c>
      <c r="J300" s="7">
        <v>-0.105696398</v>
      </c>
      <c r="K300" s="7">
        <v>0.21787957529999999</v>
      </c>
      <c r="L300" s="7">
        <v>4.4965716699999998E-2</v>
      </c>
      <c r="M300" s="7">
        <v>0.13373429789999999</v>
      </c>
      <c r="N300" s="7">
        <v>0.26297999280000001</v>
      </c>
      <c r="O300" s="7">
        <v>0.14805285509999999</v>
      </c>
      <c r="P300" s="7">
        <v>-0.16660449199999999</v>
      </c>
    </row>
    <row r="301" spans="1:16" s="7" customFormat="1" ht="15">
      <c r="A301" s="164" t="s">
        <v>227</v>
      </c>
      <c r="B301" s="7">
        <v>2.0032740977999999</v>
      </c>
      <c r="C301" s="7">
        <v>-0.43421536900000002</v>
      </c>
      <c r="D301" s="7">
        <v>2.7323662207999999</v>
      </c>
      <c r="E301" s="7">
        <v>-0.164579539</v>
      </c>
      <c r="F301" s="7">
        <v>0.78993442700000005</v>
      </c>
      <c r="G301" s="7">
        <v>-0.50079822799999996</v>
      </c>
      <c r="H301" s="7">
        <v>0.264104742</v>
      </c>
      <c r="I301" s="7">
        <v>-7.7363519000000006E-2</v>
      </c>
      <c r="J301" s="7">
        <v>-9.3807331999999993E-2</v>
      </c>
      <c r="K301" s="7">
        <v>0.99786706579999995</v>
      </c>
      <c r="L301" s="7">
        <v>-0.11903329999999999</v>
      </c>
      <c r="M301" s="7">
        <v>8.1068107400000006E-2</v>
      </c>
      <c r="N301" s="7">
        <v>1.4184712105999999</v>
      </c>
      <c r="O301" s="7">
        <v>-0.49052622099999998</v>
      </c>
      <c r="P301" s="7">
        <v>0</v>
      </c>
    </row>
    <row r="302" spans="1:16" s="7" customFormat="1" ht="15">
      <c r="A302" s="164" t="s">
        <v>139</v>
      </c>
      <c r="B302" s="7">
        <v>3.1436719892</v>
      </c>
      <c r="C302" s="7">
        <v>0.39611439170000001</v>
      </c>
      <c r="D302" s="7">
        <v>3.3509334562999999</v>
      </c>
      <c r="E302" s="7">
        <v>0.16134791400000001</v>
      </c>
      <c r="F302" s="7">
        <v>1.152493999</v>
      </c>
      <c r="G302" s="7">
        <v>-0.29771037500000003</v>
      </c>
      <c r="H302" s="7">
        <v>0.35440678520000002</v>
      </c>
      <c r="I302" s="7">
        <v>-0.31353998599999999</v>
      </c>
      <c r="J302" s="7">
        <v>0.3125796072</v>
      </c>
      <c r="K302" s="7">
        <v>1.2253020969999999</v>
      </c>
      <c r="L302" s="7">
        <v>0.12902643990000001</v>
      </c>
      <c r="M302" s="7">
        <v>-6.0023672E-2</v>
      </c>
      <c r="N302" s="7">
        <v>1.4754377905</v>
      </c>
      <c r="O302" s="7">
        <v>-0.31862142999999998</v>
      </c>
      <c r="P302" s="7">
        <v>0</v>
      </c>
    </row>
    <row r="303" spans="1:16" s="7" customFormat="1" ht="15">
      <c r="A303" s="164" t="s">
        <v>226</v>
      </c>
      <c r="B303" s="7">
        <v>3.5006216869000002</v>
      </c>
      <c r="C303" s="7">
        <v>-0.54651057400000003</v>
      </c>
      <c r="D303" s="7">
        <v>3.8380491997999999</v>
      </c>
      <c r="E303" s="7">
        <v>-4.2053645000000001E-2</v>
      </c>
      <c r="F303" s="7">
        <v>1.7978717732</v>
      </c>
      <c r="G303" s="7">
        <v>-0.70228062499999999</v>
      </c>
      <c r="H303" s="7">
        <v>0.2057091667</v>
      </c>
      <c r="I303" s="7">
        <v>-0.12205635500000001</v>
      </c>
      <c r="J303" s="7">
        <v>2.40404982E-2</v>
      </c>
      <c r="K303" s="7">
        <v>2.0396779017000002</v>
      </c>
      <c r="L303" s="7">
        <v>-0.246457172</v>
      </c>
      <c r="M303" s="7">
        <v>0.27297955820000003</v>
      </c>
      <c r="N303" s="7">
        <v>1.5415659711</v>
      </c>
      <c r="O303" s="7">
        <v>-0.30353752699999997</v>
      </c>
      <c r="P303" s="7">
        <v>-0.49342037300000002</v>
      </c>
    </row>
    <row r="304" spans="1:16" s="7" customFormat="1" ht="15">
      <c r="A304" s="164" t="s">
        <v>85</v>
      </c>
      <c r="B304" s="7">
        <v>4.4510914826999999</v>
      </c>
      <c r="C304" s="7">
        <v>-2.0637516210000002</v>
      </c>
      <c r="D304" s="7">
        <v>1.8609635536</v>
      </c>
      <c r="E304" s="7">
        <v>2.6499336002999998</v>
      </c>
      <c r="F304" s="7">
        <v>-3.8335923000000001E-2</v>
      </c>
      <c r="G304" s="7">
        <v>6.9382962999999997E-3</v>
      </c>
      <c r="H304" s="7">
        <v>-0.77921600800000002</v>
      </c>
      <c r="I304" s="7">
        <v>-0.14091574000000001</v>
      </c>
      <c r="J304" s="7">
        <v>-0.95864220300000003</v>
      </c>
      <c r="K304" s="7">
        <v>2.2357930331000002</v>
      </c>
      <c r="L304" s="7">
        <v>0.94420977439999998</v>
      </c>
      <c r="M304" s="7">
        <v>7.1266148946000003</v>
      </c>
      <c r="N304" s="7">
        <v>2.0118841137999999</v>
      </c>
      <c r="O304" s="7">
        <v>-2.999633652</v>
      </c>
      <c r="P304" s="7">
        <v>-2.0700210029999999</v>
      </c>
    </row>
    <row r="305" spans="1:16" s="7" customFormat="1" ht="15">
      <c r="A305" s="164" t="s">
        <v>94</v>
      </c>
      <c r="B305" s="7">
        <v>7.9296704224000001</v>
      </c>
      <c r="C305" s="7">
        <v>-3.7211207059999998</v>
      </c>
      <c r="D305" s="7">
        <v>1.9382827823</v>
      </c>
      <c r="E305" s="7">
        <v>1.2011215039000001</v>
      </c>
      <c r="F305" s="7">
        <v>0.98932141259999995</v>
      </c>
      <c r="G305" s="7">
        <v>-0.56925579199999998</v>
      </c>
      <c r="H305" s="7">
        <v>-0.49484956099999999</v>
      </c>
      <c r="I305" s="7">
        <v>-0.16928125899999999</v>
      </c>
      <c r="J305" s="7">
        <v>-0.82942472199999995</v>
      </c>
      <c r="K305" s="7">
        <v>0.94131973150000003</v>
      </c>
      <c r="L305" s="7">
        <v>-0.92607154700000005</v>
      </c>
      <c r="M305" s="7">
        <v>1.6206504279</v>
      </c>
      <c r="N305" s="7">
        <v>0.71518133350000002</v>
      </c>
      <c r="O305" s="7">
        <v>-1.253653723</v>
      </c>
      <c r="P305" s="7">
        <v>-0.70618098399999996</v>
      </c>
    </row>
    <row r="306" spans="1:16" s="7" customFormat="1" ht="15">
      <c r="A306" s="164" t="s">
        <v>223</v>
      </c>
      <c r="B306" s="7">
        <v>0.51329469260000005</v>
      </c>
      <c r="C306" s="7">
        <v>0.48262480190000001</v>
      </c>
      <c r="D306" s="7">
        <v>0.86608419950000004</v>
      </c>
      <c r="E306" s="7">
        <v>-0.19684855400000001</v>
      </c>
      <c r="F306" s="7">
        <v>0</v>
      </c>
      <c r="G306" s="7">
        <v>0.36354126079999999</v>
      </c>
      <c r="H306" s="7">
        <v>-0.19140169500000001</v>
      </c>
      <c r="I306" s="7">
        <v>-0.20413403399999999</v>
      </c>
      <c r="J306" s="7">
        <v>0</v>
      </c>
      <c r="K306" s="7">
        <v>0</v>
      </c>
      <c r="L306" s="7">
        <v>0</v>
      </c>
      <c r="M306" s="7">
        <v>-7.5910756999999995E-2</v>
      </c>
      <c r="N306" s="7">
        <v>0.47942843880000002</v>
      </c>
      <c r="O306" s="7">
        <v>4.4773386800000002E-2</v>
      </c>
      <c r="P306" s="7">
        <v>0</v>
      </c>
    </row>
    <row r="307" spans="1:16" s="7" customFormat="1" ht="15">
      <c r="A307" s="164" t="s">
        <v>220</v>
      </c>
      <c r="B307" s="7">
        <v>0.24626552060000001</v>
      </c>
      <c r="C307" s="7">
        <v>0.16869109930000001</v>
      </c>
      <c r="D307" s="7">
        <v>0.50943030990000004</v>
      </c>
      <c r="E307" s="7">
        <v>-0.197573837</v>
      </c>
      <c r="F307" s="7">
        <v>0</v>
      </c>
      <c r="G307" s="7">
        <v>0.15404704029999999</v>
      </c>
      <c r="H307" s="7">
        <v>-3.2838197E-2</v>
      </c>
      <c r="I307" s="7">
        <v>-0.196654052</v>
      </c>
      <c r="J307" s="7">
        <v>0</v>
      </c>
      <c r="K307" s="7">
        <v>0</v>
      </c>
      <c r="L307" s="7">
        <v>0</v>
      </c>
      <c r="M307" s="7">
        <v>-9.6669496999999993E-2</v>
      </c>
      <c r="N307" s="7">
        <v>0.29488951720000001</v>
      </c>
      <c r="O307" s="7">
        <v>9.8462017200000002E-2</v>
      </c>
      <c r="P307" s="7">
        <v>0</v>
      </c>
    </row>
    <row r="308" spans="1:16" s="7" customFormat="1" ht="15">
      <c r="A308" s="164" t="s">
        <v>171</v>
      </c>
      <c r="B308" s="7">
        <v>1.3902877831</v>
      </c>
      <c r="C308" s="7">
        <v>-2.1274324189999998</v>
      </c>
      <c r="D308" s="7">
        <v>2.4714281221999999</v>
      </c>
      <c r="E308" s="7">
        <v>0.67149208149999995</v>
      </c>
      <c r="F308" s="7">
        <v>0.78102978519999999</v>
      </c>
      <c r="G308" s="7">
        <v>0.253858325</v>
      </c>
      <c r="H308" s="7">
        <v>0.15217069580000001</v>
      </c>
      <c r="I308" s="7">
        <v>5.30092208E-2</v>
      </c>
      <c r="J308" s="7">
        <v>0.1609295292</v>
      </c>
      <c r="K308" s="7">
        <v>2.8582377208</v>
      </c>
      <c r="L308" s="7">
        <v>-0.51943320000000004</v>
      </c>
      <c r="M308" s="7">
        <v>1.8503231419999999</v>
      </c>
      <c r="N308" s="7">
        <v>3.2653428086999998</v>
      </c>
      <c r="O308" s="7">
        <v>0.5655288087</v>
      </c>
      <c r="P308" s="7">
        <v>0.81359014200000002</v>
      </c>
    </row>
    <row r="309" spans="1:16" s="7" customFormat="1">
      <c r="A309" s="7" t="s">
        <v>221</v>
      </c>
      <c r="B309">
        <v>2.3892976738076439</v>
      </c>
      <c r="C309">
        <v>-0.63638619618975345</v>
      </c>
      <c r="D309">
        <v>4.0175559340365741</v>
      </c>
      <c r="E309">
        <v>-0.8900217371719048</v>
      </c>
      <c r="F309">
        <v>1.8705710029595539</v>
      </c>
      <c r="G309">
        <v>-0.73589101341432572</v>
      </c>
      <c r="H309">
        <v>-0.97211920215102277</v>
      </c>
      <c r="I309">
        <v>-0.2120341076363057</v>
      </c>
      <c r="J309">
        <v>0.27157323552310558</v>
      </c>
      <c r="K309">
        <v>2.0069030187937908</v>
      </c>
      <c r="L309">
        <v>0.35375760828984693</v>
      </c>
      <c r="M309">
        <v>-1.1810920012723509</v>
      </c>
      <c r="N309">
        <v>2.618767618117948</v>
      </c>
      <c r="O309">
        <v>-4.5644792938338258E-2</v>
      </c>
      <c r="P309">
        <v>0.15377456685134269</v>
      </c>
    </row>
    <row r="310" spans="1:16" s="7" customFormat="1" ht="15">
      <c r="A310" s="164" t="s">
        <v>231</v>
      </c>
      <c r="B310" s="7">
        <v>0.83371054440000003</v>
      </c>
      <c r="C310" s="7">
        <v>0.46870297719999998</v>
      </c>
      <c r="D310" s="7">
        <v>1.3154514013</v>
      </c>
      <c r="E310" s="7">
        <v>-0.15760249100000001</v>
      </c>
      <c r="F310" s="7">
        <v>-0.122323892</v>
      </c>
      <c r="G310" s="7">
        <v>0.33329418700000002</v>
      </c>
      <c r="H310" s="7">
        <v>7.0562820299999995E-2</v>
      </c>
      <c r="I310" s="7">
        <v>-0.17514318600000001</v>
      </c>
      <c r="J310" s="7">
        <v>0.13111558179999999</v>
      </c>
      <c r="K310" s="7">
        <v>-8.5939798999999997E-2</v>
      </c>
      <c r="L310" s="7">
        <v>-5.5906198999999997E-2</v>
      </c>
      <c r="M310" s="7">
        <v>-0.25099894</v>
      </c>
      <c r="N310" s="7">
        <v>0.65456523799999999</v>
      </c>
      <c r="O310" s="7">
        <v>8.8334230099999994E-2</v>
      </c>
      <c r="P310" s="7">
        <v>0.13508396589999999</v>
      </c>
    </row>
    <row r="311" spans="1:16" s="7" customFormat="1" ht="15">
      <c r="A311" s="164" t="s">
        <v>232</v>
      </c>
      <c r="B311" s="7">
        <v>0.50504780329999999</v>
      </c>
      <c r="C311" s="7">
        <v>0.2412964823</v>
      </c>
      <c r="D311" s="7">
        <v>1.1254353667999999</v>
      </c>
      <c r="E311" s="7">
        <v>-0.12273943800000001</v>
      </c>
      <c r="F311" s="7">
        <v>-6.2671163000000002E-2</v>
      </c>
      <c r="G311" s="7">
        <v>0.2057290514</v>
      </c>
      <c r="H311" s="7">
        <v>2.6746543099999999E-2</v>
      </c>
      <c r="I311" s="7">
        <v>-8.9323716999999997E-2</v>
      </c>
      <c r="J311" s="7">
        <v>-3.0614457000000001E-2</v>
      </c>
      <c r="K311" s="7">
        <v>-5.9385169000000002E-2</v>
      </c>
      <c r="L311" s="7">
        <v>-4.3609132000000002E-2</v>
      </c>
      <c r="M311" s="7">
        <v>-3.0239659999999999E-3</v>
      </c>
      <c r="N311" s="7">
        <v>0.57781323380000005</v>
      </c>
      <c r="O311" s="7">
        <v>2.9247913E-3</v>
      </c>
      <c r="P311" s="7">
        <v>0.12830026759999999</v>
      </c>
    </row>
    <row r="312" spans="1:16" s="7" customFormat="1" ht="14">
      <c r="A312" s="34"/>
    </row>
    <row r="313" spans="1:16" s="7" customFormat="1" ht="14">
      <c r="A313" s="34"/>
    </row>
    <row r="314" spans="1:16" s="7" customFormat="1" ht="14">
      <c r="A314" s="34"/>
    </row>
    <row r="315" spans="1:16" s="7" customFormat="1" ht="14">
      <c r="A315" s="34"/>
    </row>
    <row r="316" spans="1:16" s="7" customFormat="1" ht="14">
      <c r="A316" s="34"/>
    </row>
    <row r="317" spans="1:16" s="7" customFormat="1" ht="14">
      <c r="A317" s="34"/>
    </row>
    <row r="318" spans="1:16" s="7" customFormat="1" ht="14">
      <c r="A318" s="34"/>
    </row>
    <row r="319" spans="1:16" s="7" customFormat="1" ht="14">
      <c r="A319" s="34"/>
    </row>
    <row r="320" spans="1:16" s="7" customFormat="1" ht="14">
      <c r="A320" s="34"/>
    </row>
    <row r="321" spans="1:16" s="7" customFormat="1">
      <c r="A321" s="7" t="s">
        <v>185</v>
      </c>
    </row>
    <row r="322" spans="1:16" s="7" customFormat="1">
      <c r="A322" s="7" t="s">
        <v>122</v>
      </c>
      <c r="B322" s="7" t="s">
        <v>50</v>
      </c>
      <c r="C322" s="7" t="s">
        <v>26</v>
      </c>
      <c r="D322" s="7" t="s">
        <v>28</v>
      </c>
      <c r="E322" s="7" t="s">
        <v>34</v>
      </c>
      <c r="F322" s="7" t="s">
        <v>27</v>
      </c>
      <c r="G322" s="7" t="s">
        <v>52</v>
      </c>
      <c r="H322" s="7" t="s">
        <v>51</v>
      </c>
      <c r="I322" s="7" t="s">
        <v>53</v>
      </c>
      <c r="J322" s="7" t="s">
        <v>54</v>
      </c>
      <c r="K322" s="7" t="s">
        <v>55</v>
      </c>
      <c r="L322" s="7" t="s">
        <v>56</v>
      </c>
      <c r="M322" s="7" t="s">
        <v>57</v>
      </c>
      <c r="N322" s="7" t="s">
        <v>58</v>
      </c>
      <c r="O322" s="7" t="s">
        <v>59</v>
      </c>
      <c r="P322" s="7" t="s">
        <v>60</v>
      </c>
    </row>
    <row r="323" spans="1:16" s="7" customFormat="1">
      <c r="A323" s="7" t="s">
        <v>105</v>
      </c>
      <c r="B323">
        <v>44.247457627000003</v>
      </c>
      <c r="C323">
        <v>-6.6833333330000002</v>
      </c>
      <c r="D323">
        <v>12.772222222</v>
      </c>
      <c r="E323">
        <v>-0.66111111099999997</v>
      </c>
      <c r="F323">
        <v>26.166666667000001</v>
      </c>
      <c r="G323">
        <v>0.35</v>
      </c>
      <c r="H323">
        <v>-0.1</v>
      </c>
      <c r="I323">
        <v>-2.2625000000000002</v>
      </c>
      <c r="J323">
        <v>-2.1</v>
      </c>
      <c r="K323">
        <v>1.0375000000000001</v>
      </c>
      <c r="L323">
        <v>3.8624999999999998</v>
      </c>
      <c r="M323">
        <v>2.8612994349999998</v>
      </c>
      <c r="N323">
        <v>-0.43870056499999999</v>
      </c>
      <c r="O323">
        <v>-1.0387005650000001</v>
      </c>
      <c r="P323">
        <v>3.0112994350000002</v>
      </c>
    </row>
    <row r="324" spans="1:16" s="7" customFormat="1">
      <c r="A324" s="7" t="s">
        <v>84</v>
      </c>
      <c r="B324">
        <v>49.092798148999996</v>
      </c>
      <c r="C324">
        <v>-6.6527584820000003</v>
      </c>
      <c r="D324">
        <v>12.975048902999999</v>
      </c>
      <c r="E324">
        <v>0.84169753619999998</v>
      </c>
      <c r="F324">
        <v>25.967329269</v>
      </c>
      <c r="G324">
        <v>0.39193562949999999</v>
      </c>
      <c r="H324">
        <v>0.39093051290000003</v>
      </c>
      <c r="I324">
        <v>-2.7031235410000001</v>
      </c>
      <c r="J324">
        <v>-2.6174703140000002</v>
      </c>
      <c r="K324">
        <v>-0.87573324900000005</v>
      </c>
      <c r="L324">
        <v>4.0473404986999997</v>
      </c>
      <c r="M324">
        <v>6.8747766743999996</v>
      </c>
      <c r="N324">
        <v>-0.26928223800000001</v>
      </c>
      <c r="O324">
        <v>-1.041777908</v>
      </c>
      <c r="P324">
        <v>-1.830584738</v>
      </c>
    </row>
    <row r="325" spans="1:16" s="7" customFormat="1">
      <c r="A325" s="7" t="s">
        <v>82</v>
      </c>
      <c r="B325">
        <v>52.983175430999999</v>
      </c>
      <c r="C325">
        <v>-13.3</v>
      </c>
      <c r="D325">
        <v>13.280223088</v>
      </c>
      <c r="E325">
        <v>0.79572592070000003</v>
      </c>
      <c r="F325">
        <v>18.074699008</v>
      </c>
      <c r="G325">
        <v>1.7081090651999999</v>
      </c>
      <c r="H325">
        <v>-1.238533994</v>
      </c>
      <c r="I325">
        <v>-2.2937500000000002</v>
      </c>
      <c r="J325">
        <v>3.1120750708</v>
      </c>
      <c r="K325">
        <v>-0.23125000000000001</v>
      </c>
      <c r="L325">
        <v>1.53125</v>
      </c>
      <c r="M325">
        <v>12.10100536</v>
      </c>
      <c r="N325">
        <v>-0.91073446300000005</v>
      </c>
      <c r="O325">
        <v>-1.360734463</v>
      </c>
      <c r="P325">
        <v>-0.46073446299999998</v>
      </c>
    </row>
    <row r="326" spans="1:16" s="7" customFormat="1">
      <c r="A326" s="7" t="s">
        <v>226</v>
      </c>
      <c r="B326" s="7">
        <v>50.431251076000002</v>
      </c>
      <c r="C326" s="7">
        <v>-6.0453248620000002</v>
      </c>
      <c r="D326" s="7">
        <v>18.301926504000001</v>
      </c>
      <c r="E326" s="7">
        <v>0.65277188139999998</v>
      </c>
      <c r="F326" s="7">
        <v>13.091333408000001</v>
      </c>
      <c r="G326" s="7">
        <v>0.74741997299999996</v>
      </c>
      <c r="H326" s="7">
        <v>-2.4081902469999998</v>
      </c>
      <c r="I326" s="7">
        <v>8.6675671600000004E-2</v>
      </c>
      <c r="J326" s="7">
        <v>-1.7408657089999999</v>
      </c>
      <c r="K326" s="7">
        <v>1.4072669382</v>
      </c>
      <c r="L326" s="7">
        <v>1.8963675713000001</v>
      </c>
      <c r="M326" s="7">
        <v>1.5619571255</v>
      </c>
      <c r="N326" s="7">
        <v>-0.83227871499999995</v>
      </c>
      <c r="O326" s="7">
        <v>-1.4086364259999999</v>
      </c>
      <c r="P326" s="7">
        <v>4.4746342417999996</v>
      </c>
    </row>
    <row r="327" spans="1:16" s="7" customFormat="1">
      <c r="A327" s="7" t="s">
        <v>85</v>
      </c>
      <c r="B327">
        <v>57.475694443999998</v>
      </c>
      <c r="C327">
        <v>-10.616666670000001</v>
      </c>
      <c r="D327">
        <v>14.423020362000001</v>
      </c>
      <c r="E327">
        <v>0.43314479639999998</v>
      </c>
      <c r="F327">
        <v>7.2041855204000003</v>
      </c>
      <c r="G327">
        <v>4.6002828054</v>
      </c>
      <c r="H327">
        <v>0.33812217189999999</v>
      </c>
      <c r="I327">
        <v>-1.91875</v>
      </c>
      <c r="J327">
        <v>-2.886312217</v>
      </c>
      <c r="K327">
        <v>-1.0687500000000001</v>
      </c>
      <c r="L327">
        <v>1.14375</v>
      </c>
      <c r="M327">
        <v>7.6827801318000004</v>
      </c>
      <c r="N327">
        <v>-0.69067796599999998</v>
      </c>
      <c r="O327">
        <v>0.40932203389999999</v>
      </c>
      <c r="P327">
        <v>4.6093220338999998</v>
      </c>
    </row>
    <row r="328" spans="1:16" s="7" customFormat="1">
      <c r="A328" s="7" t="s">
        <v>94</v>
      </c>
      <c r="B328">
        <v>59.477966102000003</v>
      </c>
      <c r="C328">
        <v>-11.06666667</v>
      </c>
      <c r="D328">
        <v>14.888888889</v>
      </c>
      <c r="E328">
        <v>-0.92777777800000005</v>
      </c>
      <c r="F328">
        <v>11.111111111</v>
      </c>
      <c r="G328">
        <v>4.8375000000000004</v>
      </c>
      <c r="H328">
        <v>0.45</v>
      </c>
      <c r="I328">
        <v>-2.1875</v>
      </c>
      <c r="J328">
        <v>2.5000000000000001E-2</v>
      </c>
      <c r="K328">
        <v>0.23749999999999999</v>
      </c>
      <c r="L328">
        <v>0.375</v>
      </c>
      <c r="M328">
        <v>5.6090395480000002</v>
      </c>
      <c r="N328">
        <v>-0.190960452</v>
      </c>
      <c r="O328">
        <v>1.3590395479999999</v>
      </c>
      <c r="P328">
        <v>2.0090395480000001</v>
      </c>
    </row>
    <row r="329" spans="1:16" s="7" customFormat="1">
      <c r="A329" s="7" t="s">
        <v>123</v>
      </c>
      <c r="B329">
        <v>45.491105097000002</v>
      </c>
      <c r="C329">
        <v>-9.6485257410000003</v>
      </c>
      <c r="D329">
        <v>13.035434228</v>
      </c>
      <c r="E329">
        <v>0.37329508439999998</v>
      </c>
      <c r="F329">
        <v>23.733092411000001</v>
      </c>
      <c r="G329">
        <v>1.5179273898000001</v>
      </c>
      <c r="H329">
        <v>0.44032225759999999</v>
      </c>
      <c r="I329">
        <v>-3.2947783529999999</v>
      </c>
      <c r="J329">
        <v>-3.140545033</v>
      </c>
      <c r="K329">
        <v>-0.46233760400000001</v>
      </c>
      <c r="L329">
        <v>2.9421637293999998</v>
      </c>
      <c r="M329">
        <v>8.1139141764999998</v>
      </c>
      <c r="N329">
        <v>1.1967205751000001</v>
      </c>
      <c r="O329">
        <v>-1.09152392</v>
      </c>
      <c r="P329">
        <v>1.0251279100999999</v>
      </c>
    </row>
    <row r="330" spans="1:16" s="7" customFormat="1">
      <c r="A330" s="7" t="s">
        <v>124</v>
      </c>
      <c r="B330">
        <v>50.429821169999997</v>
      </c>
      <c r="C330">
        <v>-10.995825</v>
      </c>
      <c r="D330">
        <v>12.148043933</v>
      </c>
      <c r="E330">
        <v>1.5038168817999999</v>
      </c>
      <c r="F330">
        <v>20.653530966999998</v>
      </c>
      <c r="G330">
        <v>2.1091289488</v>
      </c>
      <c r="H330">
        <v>5.9257318999999999E-3</v>
      </c>
      <c r="I330">
        <v>-3.5839033329999999</v>
      </c>
      <c r="J330">
        <v>0.6085315536</v>
      </c>
      <c r="K330">
        <v>-0.51825924899999998</v>
      </c>
      <c r="L330">
        <v>2.0323964993999999</v>
      </c>
      <c r="M330">
        <v>10.449127753000001</v>
      </c>
      <c r="N330">
        <v>-1.602319E-2</v>
      </c>
      <c r="O330">
        <v>-0.12264686</v>
      </c>
      <c r="P330">
        <v>1.0434813048</v>
      </c>
    </row>
    <row r="331" spans="1:16" s="7" customFormat="1">
      <c r="A331" s="7" t="s">
        <v>227</v>
      </c>
      <c r="B331">
        <v>18.742437427020391</v>
      </c>
      <c r="C331">
        <v>-4.38073174035239</v>
      </c>
      <c r="D331">
        <v>16.937082920815211</v>
      </c>
      <c r="E331">
        <v>-2.522208665584428</v>
      </c>
      <c r="F331">
        <v>9.3447015631475061</v>
      </c>
      <c r="G331">
        <v>-1.6581508850531119</v>
      </c>
      <c r="H331">
        <v>0.21406145482082911</v>
      </c>
      <c r="I331">
        <v>-0.9753471821924502</v>
      </c>
      <c r="J331">
        <v>-2.839406200613265</v>
      </c>
      <c r="K331">
        <v>1.773596813117893</v>
      </c>
      <c r="L331">
        <v>1.4284069366867009</v>
      </c>
      <c r="M331">
        <v>1.6913124118309779</v>
      </c>
      <c r="N331">
        <v>1.0573055642388329</v>
      </c>
      <c r="O331">
        <v>-0.643974853354643</v>
      </c>
      <c r="P331">
        <v>18.74243742702042</v>
      </c>
    </row>
    <row r="332" spans="1:16" s="7" customFormat="1">
      <c r="A332" s="7" t="s">
        <v>90</v>
      </c>
      <c r="B332">
        <v>26.355134595999999</v>
      </c>
      <c r="C332">
        <v>0.20201052780000001</v>
      </c>
      <c r="D332">
        <v>15.249431897999999</v>
      </c>
      <c r="E332">
        <v>-3.7684939910000002</v>
      </c>
      <c r="F332">
        <v>13.968060324</v>
      </c>
      <c r="G332">
        <v>5.7953968799999998E-2</v>
      </c>
      <c r="H332">
        <v>0.37335555209999999</v>
      </c>
      <c r="I332">
        <v>-0.999832469</v>
      </c>
      <c r="J332">
        <v>-3.1553679899999998</v>
      </c>
      <c r="K332">
        <v>3.5761391563</v>
      </c>
      <c r="L332">
        <v>1.8835790728999999</v>
      </c>
      <c r="M332">
        <v>-0.509847473</v>
      </c>
      <c r="N332">
        <v>1.6994086934999999</v>
      </c>
      <c r="O332">
        <v>0.77687936020000004</v>
      </c>
      <c r="P332">
        <v>2.9733295268000002</v>
      </c>
    </row>
    <row r="333" spans="1:16" s="7" customFormat="1">
      <c r="A333" s="7" t="s">
        <v>169</v>
      </c>
      <c r="B333">
        <v>24.02855843</v>
      </c>
      <c r="C333">
        <v>-0.43482731499999999</v>
      </c>
      <c r="D333">
        <v>15.336443593</v>
      </c>
      <c r="E333">
        <v>-3.3141608150000001</v>
      </c>
      <c r="F333">
        <v>14.017457557</v>
      </c>
      <c r="G333">
        <v>0.47643720830000003</v>
      </c>
      <c r="H333">
        <v>1.0032365833000001</v>
      </c>
      <c r="I333">
        <v>-0.99864291699999996</v>
      </c>
      <c r="J333">
        <v>-5.0462262500000001</v>
      </c>
      <c r="K333">
        <v>2.6460403345999999</v>
      </c>
      <c r="L333">
        <v>1.1994623745999999</v>
      </c>
      <c r="M333">
        <v>5.4332003347000004</v>
      </c>
      <c r="N333">
        <v>1.2741814997000001</v>
      </c>
      <c r="O333">
        <v>0.17322016470000001</v>
      </c>
      <c r="P333">
        <v>1.0819208297</v>
      </c>
    </row>
    <row r="334" spans="1:16" s="7" customFormat="1">
      <c r="A334" s="7" t="s">
        <v>139</v>
      </c>
      <c r="B334">
        <v>22.323305008068051</v>
      </c>
      <c r="C334">
        <v>-1.1065359366048011</v>
      </c>
      <c r="D334">
        <v>18.750392083142799</v>
      </c>
      <c r="E334">
        <v>-2.5002476158366291</v>
      </c>
      <c r="F334">
        <v>8.4732230779772131</v>
      </c>
      <c r="G334">
        <v>-1.424592723865721</v>
      </c>
      <c r="H334">
        <v>0.99293749301767598</v>
      </c>
      <c r="I334">
        <v>-1.7232043141698199</v>
      </c>
      <c r="J334">
        <v>-1.277907889464047</v>
      </c>
      <c r="K334">
        <v>0.70586101302814708</v>
      </c>
      <c r="L334">
        <v>1.983763302384751</v>
      </c>
      <c r="M334">
        <v>2.8068862215216841</v>
      </c>
      <c r="N334">
        <v>9.6317030986722951E-2</v>
      </c>
      <c r="O334">
        <v>1.085313120745572</v>
      </c>
      <c r="P334">
        <v>22.3233050080681</v>
      </c>
    </row>
    <row r="335" spans="1:16" s="7" customFormat="1">
      <c r="A335" s="7" t="s">
        <v>142</v>
      </c>
      <c r="B335">
        <v>54.960126332999998</v>
      </c>
      <c r="C335">
        <v>0</v>
      </c>
      <c r="D335">
        <v>18.098896499999999</v>
      </c>
      <c r="E335">
        <v>-0.11288683300000001</v>
      </c>
      <c r="F335">
        <v>17.500061667000001</v>
      </c>
      <c r="G335">
        <v>0</v>
      </c>
      <c r="H335">
        <v>0</v>
      </c>
      <c r="I335">
        <v>0.1567865833</v>
      </c>
      <c r="J335">
        <v>0</v>
      </c>
      <c r="K335">
        <v>-0.27727600000000002</v>
      </c>
      <c r="L335">
        <v>0.88830575000000001</v>
      </c>
      <c r="M335">
        <v>0</v>
      </c>
      <c r="N335">
        <v>0.25582125</v>
      </c>
      <c r="O335">
        <v>-0.85706616700000005</v>
      </c>
      <c r="P335">
        <v>-3.244749917</v>
      </c>
    </row>
    <row r="336" spans="1:16" s="7" customFormat="1">
      <c r="A336" s="7" t="s">
        <v>134</v>
      </c>
      <c r="B336">
        <v>12.7682633910758</v>
      </c>
      <c r="C336">
        <v>0.831140237898505</v>
      </c>
      <c r="D336">
        <v>14.248092703603801</v>
      </c>
      <c r="E336">
        <v>-5.9412310031205804</v>
      </c>
      <c r="F336">
        <v>0</v>
      </c>
      <c r="G336">
        <v>-9.0241359971616406E-2</v>
      </c>
      <c r="H336">
        <v>0.42458969849504102</v>
      </c>
      <c r="I336">
        <v>-4.1520442034947198</v>
      </c>
      <c r="J336">
        <v>0</v>
      </c>
      <c r="K336">
        <v>0</v>
      </c>
      <c r="L336">
        <v>0</v>
      </c>
      <c r="M336">
        <v>0.38799617715034401</v>
      </c>
      <c r="N336">
        <v>3.8733858490369601</v>
      </c>
      <c r="O336">
        <v>1.8536709477439699</v>
      </c>
      <c r="P336">
        <v>0</v>
      </c>
    </row>
    <row r="337" spans="1:16" s="7" customFormat="1">
      <c r="A337" s="7" t="s">
        <v>135</v>
      </c>
      <c r="B337">
        <v>11.168906934494499</v>
      </c>
      <c r="C337">
        <v>0.95329759311621098</v>
      </c>
      <c r="D337">
        <v>11.517663979181901</v>
      </c>
      <c r="E337">
        <v>-5.3603960078365303</v>
      </c>
      <c r="F337">
        <v>0</v>
      </c>
      <c r="G337">
        <v>0.69001150590499605</v>
      </c>
      <c r="H337">
        <v>-0.55113140554438</v>
      </c>
      <c r="I337">
        <v>-3.6008755419677998</v>
      </c>
      <c r="J337">
        <v>0</v>
      </c>
      <c r="K337">
        <v>0</v>
      </c>
      <c r="L337">
        <v>0</v>
      </c>
      <c r="M337">
        <v>-1.23551646621331</v>
      </c>
      <c r="N337">
        <v>2.75311409338252</v>
      </c>
      <c r="O337">
        <v>1.4242324461048399</v>
      </c>
      <c r="P337">
        <v>0</v>
      </c>
    </row>
    <row r="338" spans="1:16" s="7" customFormat="1">
      <c r="A338" s="7" t="s">
        <v>215</v>
      </c>
      <c r="B338">
        <v>4.0457029589187261</v>
      </c>
      <c r="C338">
        <v>1.114581079864347</v>
      </c>
      <c r="D338">
        <v>5.9428311735058914</v>
      </c>
      <c r="E338">
        <v>-2.853890920437145</v>
      </c>
      <c r="F338">
        <v>-4.0457029589187199</v>
      </c>
      <c r="G338">
        <v>1.191922907144551</v>
      </c>
      <c r="H338">
        <v>-0.12529954160402079</v>
      </c>
      <c r="I338">
        <v>-3.442149913041249</v>
      </c>
      <c r="J338">
        <v>-1.1145810798643481</v>
      </c>
      <c r="K338">
        <v>-5.9428311735058852</v>
      </c>
      <c r="L338">
        <v>2.8538909204371481</v>
      </c>
      <c r="M338">
        <v>-1.04162046964995</v>
      </c>
      <c r="N338">
        <v>3.5636456774248839</v>
      </c>
      <c r="O338">
        <v>1.254239234397837</v>
      </c>
      <c r="P338">
        <v>4.045702958918719</v>
      </c>
    </row>
    <row r="339" spans="1:16" s="7" customFormat="1">
      <c r="A339" s="7" t="s">
        <v>214</v>
      </c>
      <c r="B339">
        <v>14.4418623360182</v>
      </c>
      <c r="C339">
        <v>-0.46569177086624158</v>
      </c>
      <c r="D339">
        <v>16.654489189926618</v>
      </c>
      <c r="E339">
        <v>-5.7334468172711421</v>
      </c>
      <c r="F339">
        <v>4.4663880733792007</v>
      </c>
      <c r="G339">
        <v>-0.4785009658388889</v>
      </c>
      <c r="H339">
        <v>0.92352391616981189</v>
      </c>
      <c r="I339">
        <v>-1.94992022785736</v>
      </c>
      <c r="J339">
        <v>-0.55129632289275865</v>
      </c>
      <c r="K339">
        <v>1.94656745784653</v>
      </c>
      <c r="L339">
        <v>-0.48437694543952059</v>
      </c>
      <c r="M339">
        <v>-1.3032446791970611</v>
      </c>
      <c r="N339">
        <v>1.9016695051293779</v>
      </c>
      <c r="O339">
        <v>1.485515344475584</v>
      </c>
      <c r="P339">
        <v>14.44186233601825</v>
      </c>
    </row>
    <row r="340" spans="1:16" s="7" customFormat="1">
      <c r="A340" s="7" t="s">
        <v>218</v>
      </c>
      <c r="B340">
        <v>4.0457029589187261</v>
      </c>
      <c r="C340">
        <v>1.114581079864347</v>
      </c>
      <c r="D340">
        <v>5.9428311735058914</v>
      </c>
      <c r="E340">
        <v>-2.853890920437145</v>
      </c>
      <c r="F340">
        <v>-4.0457029589187199</v>
      </c>
      <c r="G340">
        <v>1.191922907144551</v>
      </c>
      <c r="H340">
        <v>-0.12529954160402079</v>
      </c>
      <c r="I340">
        <v>-3.442149913041249</v>
      </c>
      <c r="J340">
        <v>-1.1145810798643481</v>
      </c>
      <c r="K340">
        <v>-5.9428311735058852</v>
      </c>
      <c r="L340">
        <v>2.8538909204371481</v>
      </c>
      <c r="M340">
        <v>-1.04162046964995</v>
      </c>
      <c r="N340">
        <v>3.5636456774248839</v>
      </c>
      <c r="O340">
        <v>1.254239234397837</v>
      </c>
      <c r="P340">
        <v>4.045702958918719</v>
      </c>
    </row>
    <row r="341" spans="1:16" s="7" customFormat="1">
      <c r="A341" s="7" t="s">
        <v>220</v>
      </c>
      <c r="B341">
        <v>3.7959535233817689</v>
      </c>
      <c r="C341">
        <v>0.99636116819976039</v>
      </c>
      <c r="D341">
        <v>6.3021804984669112</v>
      </c>
      <c r="E341">
        <v>-3.100847336399521</v>
      </c>
      <c r="F341">
        <v>-3.7959535233817689</v>
      </c>
      <c r="G341">
        <v>0.9131294538539193</v>
      </c>
      <c r="H341">
        <v>1.308984163208271</v>
      </c>
      <c r="I341">
        <v>-1.5710438429241</v>
      </c>
      <c r="J341">
        <v>-0.99636116819975884</v>
      </c>
      <c r="K341">
        <v>-6.3021804984669121</v>
      </c>
      <c r="L341">
        <v>3.100847336399521</v>
      </c>
      <c r="M341">
        <v>2.9434423726134442</v>
      </c>
      <c r="N341">
        <v>2.15515093672066</v>
      </c>
      <c r="O341">
        <v>0.48998090157545637</v>
      </c>
      <c r="P341">
        <v>3.7959535233817689</v>
      </c>
    </row>
    <row r="342" spans="1:16" s="7" customFormat="1">
      <c r="A342" s="7" t="s">
        <v>223</v>
      </c>
      <c r="B342">
        <v>4.9206156469593552</v>
      </c>
      <c r="C342">
        <v>2.1999169582855762</v>
      </c>
      <c r="D342">
        <v>6.9924804076623808</v>
      </c>
      <c r="E342">
        <v>-3.0671216380880151</v>
      </c>
      <c r="F342">
        <v>-4.9206156469593534</v>
      </c>
      <c r="G342">
        <v>3.2886687471364091</v>
      </c>
      <c r="H342">
        <v>-1.4237874793005609</v>
      </c>
      <c r="I342">
        <v>-3.3356944361334699</v>
      </c>
      <c r="J342">
        <v>-2.199916958285582</v>
      </c>
      <c r="K342">
        <v>-6.9924804076623754</v>
      </c>
      <c r="L342">
        <v>3.0671216380880151</v>
      </c>
      <c r="M342">
        <v>2.4913330580525588</v>
      </c>
      <c r="N342">
        <v>4.9206156469593543</v>
      </c>
      <c r="O342">
        <v>-0.66571700394113353</v>
      </c>
      <c r="P342">
        <v>4.9206156469593543</v>
      </c>
    </row>
    <row r="343" spans="1:16" s="7" customFormat="1">
      <c r="A343" s="7" t="s">
        <v>221</v>
      </c>
      <c r="B343">
        <v>61.873285451261573</v>
      </c>
      <c r="C343">
        <v>-8.4768157253054586</v>
      </c>
      <c r="D343">
        <v>19.364952480435829</v>
      </c>
      <c r="E343">
        <v>-2.4594754792706972</v>
      </c>
      <c r="F343">
        <v>14.74020664893628</v>
      </c>
      <c r="G343">
        <v>-1.6999375684606861</v>
      </c>
      <c r="H343">
        <v>-2.2681200150492971</v>
      </c>
      <c r="I343">
        <v>-1.361062995651972</v>
      </c>
      <c r="J343">
        <v>-3.601205428667984</v>
      </c>
      <c r="K343">
        <v>-0.55340240743931679</v>
      </c>
      <c r="L343">
        <v>3.142467041096213</v>
      </c>
      <c r="M343">
        <v>-0.55726712314121585</v>
      </c>
      <c r="N343">
        <v>-2.781470147619407</v>
      </c>
      <c r="O343">
        <v>-0.41844256830994631</v>
      </c>
      <c r="P343">
        <v>-6.8164474307333256</v>
      </c>
    </row>
    <row r="344" spans="1:16" s="7" customFormat="1">
      <c r="A344" s="7" t="s">
        <v>222</v>
      </c>
      <c r="B344">
        <v>18.439863365714</v>
      </c>
      <c r="C344">
        <v>-2.3223963355807342</v>
      </c>
      <c r="D344">
        <v>20.40514220345079</v>
      </c>
      <c r="E344">
        <v>-3.0007317753244398</v>
      </c>
      <c r="F344">
        <v>4.0993273011526936</v>
      </c>
      <c r="G344">
        <v>-2.6623945493447119</v>
      </c>
      <c r="H344">
        <v>1.5212559801500849</v>
      </c>
      <c r="I344">
        <v>-4.89268832605112E-2</v>
      </c>
      <c r="J344">
        <v>3.089324094337698E-2</v>
      </c>
      <c r="K344">
        <v>0.90780426176930384</v>
      </c>
      <c r="L344">
        <v>0.1742477468473877</v>
      </c>
      <c r="M344">
        <v>1.8325699944952789</v>
      </c>
      <c r="N344">
        <v>1.80291585169547</v>
      </c>
      <c r="O344">
        <v>4.2676695458121028E-2</v>
      </c>
      <c r="P344">
        <v>18.439863365714029</v>
      </c>
    </row>
    <row r="345" spans="1:16" s="7" customFormat="1">
      <c r="A345" s="7" t="s">
        <v>224</v>
      </c>
      <c r="B345">
        <v>5.6339457520791552</v>
      </c>
      <c r="C345">
        <v>1.263100775949298</v>
      </c>
      <c r="D345">
        <v>7.5272770374328477</v>
      </c>
      <c r="E345">
        <v>-3.2815546491614471</v>
      </c>
      <c r="F345">
        <v>-5.6339457520791587</v>
      </c>
      <c r="G345">
        <v>-0.73163708058273791</v>
      </c>
      <c r="H345">
        <v>-0.36726470933510308</v>
      </c>
      <c r="I345">
        <v>-2.7664539868837701</v>
      </c>
      <c r="J345">
        <v>-1.2631007759493009</v>
      </c>
      <c r="K345">
        <v>-7.5272770374328397</v>
      </c>
      <c r="L345">
        <v>3.2815546491614471</v>
      </c>
      <c r="M345">
        <v>-3.8514226252073243E-2</v>
      </c>
      <c r="N345">
        <v>3.118837592357393</v>
      </c>
      <c r="O345">
        <v>1.2495655806551029</v>
      </c>
      <c r="P345">
        <v>5.6339457520791552</v>
      </c>
    </row>
    <row r="346" spans="1:16" s="7" customFormat="1">
      <c r="B346"/>
      <c r="C346"/>
      <c r="D346"/>
      <c r="E346"/>
      <c r="F346"/>
      <c r="G346"/>
      <c r="H346"/>
      <c r="I346"/>
      <c r="J346"/>
      <c r="K346"/>
      <c r="L346"/>
      <c r="M346"/>
      <c r="N346"/>
      <c r="O346"/>
      <c r="P346"/>
    </row>
    <row r="347" spans="1:16" s="7" customFormat="1"/>
    <row r="348" spans="1:16" s="7" customFormat="1">
      <c r="A348" s="31"/>
    </row>
    <row r="349" spans="1:16" s="7" customFormat="1">
      <c r="A349" s="31" t="s">
        <v>186</v>
      </c>
    </row>
    <row r="350" spans="1:16" s="7" customFormat="1">
      <c r="A350" s="7" t="s">
        <v>122</v>
      </c>
      <c r="B350" s="7" t="s">
        <v>50</v>
      </c>
      <c r="C350" s="7" t="s">
        <v>26</v>
      </c>
      <c r="D350" s="7" t="s">
        <v>28</v>
      </c>
      <c r="E350" s="7" t="s">
        <v>34</v>
      </c>
      <c r="F350" s="7" t="s">
        <v>27</v>
      </c>
      <c r="G350" s="7" t="s">
        <v>52</v>
      </c>
      <c r="H350" s="7" t="s">
        <v>51</v>
      </c>
      <c r="I350" s="7" t="s">
        <v>53</v>
      </c>
      <c r="J350" s="7" t="s">
        <v>54</v>
      </c>
      <c r="K350" s="7" t="s">
        <v>55</v>
      </c>
      <c r="L350" s="7" t="s">
        <v>56</v>
      </c>
      <c r="M350" s="7" t="s">
        <v>57</v>
      </c>
      <c r="N350" s="7" t="s">
        <v>58</v>
      </c>
      <c r="O350" s="7" t="s">
        <v>59</v>
      </c>
      <c r="P350" s="7" t="s">
        <v>60</v>
      </c>
    </row>
    <row r="351" spans="1:16" s="7" customFormat="1">
      <c r="A351" s="7" t="s">
        <v>105</v>
      </c>
      <c r="B351" s="7">
        <v>5.8656106081999999</v>
      </c>
      <c r="C351" s="7">
        <v>-3.3440079909999998</v>
      </c>
      <c r="D351" s="7">
        <v>6.1432239354</v>
      </c>
      <c r="E351" s="7">
        <v>1.1521272132</v>
      </c>
      <c r="F351" s="7">
        <v>6.1870032685999998</v>
      </c>
      <c r="G351" s="7">
        <v>-7.3605532000000001E-2</v>
      </c>
      <c r="H351" s="7">
        <v>-0.49826694700000002</v>
      </c>
      <c r="I351" s="7">
        <v>-0.74810711500000004</v>
      </c>
      <c r="J351" s="7">
        <v>-1.425071969</v>
      </c>
      <c r="K351" s="7">
        <v>3.8002841973999999</v>
      </c>
      <c r="L351" s="7">
        <v>0.16852286499999999</v>
      </c>
      <c r="M351" s="7">
        <v>0.57688023489999996</v>
      </c>
      <c r="N351" s="7">
        <v>2.0964569034</v>
      </c>
      <c r="O351" s="7">
        <v>2.6323117364000002</v>
      </c>
      <c r="P351" s="7">
        <v>0.80655573489999999</v>
      </c>
    </row>
    <row r="352" spans="1:16" s="7" customFormat="1">
      <c r="A352" s="7" t="s">
        <v>84</v>
      </c>
      <c r="B352" s="7">
        <v>7.2589667722</v>
      </c>
      <c r="C352" s="7">
        <v>-6.3134459510000003</v>
      </c>
      <c r="D352" s="7">
        <v>5.5097173032000004</v>
      </c>
      <c r="E352" s="7">
        <v>4.1067268397000003</v>
      </c>
      <c r="F352" s="7">
        <v>7.4813206666000003</v>
      </c>
      <c r="G352" s="7">
        <v>-1.318280785</v>
      </c>
      <c r="H352" s="7">
        <v>-1.668077153</v>
      </c>
      <c r="I352" s="7">
        <v>-2.4442724450000002</v>
      </c>
      <c r="J352" s="7">
        <v>9.3542969099999998E-2</v>
      </c>
      <c r="K352" s="7">
        <v>2.5968584135000001</v>
      </c>
      <c r="L352" s="7">
        <v>2.1646045697999998</v>
      </c>
      <c r="M352" s="7">
        <v>6.0849344309999998</v>
      </c>
      <c r="N352" s="7">
        <v>3.5323607554000001</v>
      </c>
      <c r="O352" s="7">
        <v>1.2335490553999999</v>
      </c>
      <c r="P352" s="7">
        <v>2.7252790886999998</v>
      </c>
    </row>
    <row r="353" spans="1:16" s="7" customFormat="1">
      <c r="A353" s="7" t="s">
        <v>82</v>
      </c>
      <c r="B353" s="7">
        <v>11.586595702</v>
      </c>
      <c r="C353" s="7">
        <v>-13.739628850000001</v>
      </c>
      <c r="D353" s="7">
        <v>3.4050378888999999</v>
      </c>
      <c r="E353" s="7">
        <v>5.2497859236000002</v>
      </c>
      <c r="F353" s="7">
        <v>9.1573346638000004</v>
      </c>
      <c r="G353" s="7">
        <v>-3.9655167950000001</v>
      </c>
      <c r="H353" s="7">
        <v>-1.5957160889999999</v>
      </c>
      <c r="I353" s="7">
        <v>-5.0709797329999997</v>
      </c>
      <c r="J353" s="7">
        <v>4.4248765023000001</v>
      </c>
      <c r="K353" s="7">
        <v>-0.63888404600000004</v>
      </c>
      <c r="L353" s="7">
        <v>2.1115361625000002</v>
      </c>
      <c r="M353" s="7">
        <v>14.667216270999999</v>
      </c>
      <c r="N353" s="7">
        <v>4.3285958075000002</v>
      </c>
      <c r="O353" s="7">
        <v>0.4731766409</v>
      </c>
      <c r="P353" s="7">
        <v>5.8925388075000003</v>
      </c>
    </row>
    <row r="354" spans="1:16" s="7" customFormat="1">
      <c r="A354" s="7" t="s">
        <v>90</v>
      </c>
      <c r="B354" s="7">
        <v>2.8801314331999999</v>
      </c>
      <c r="C354" s="7">
        <v>0.1073825835</v>
      </c>
      <c r="D354" s="7">
        <v>2.3062703529999999</v>
      </c>
      <c r="E354" s="7">
        <v>-0.96869022400000004</v>
      </c>
      <c r="F354" s="7">
        <v>0.8933294947</v>
      </c>
      <c r="G354" s="7">
        <v>0.78604741140000001</v>
      </c>
      <c r="H354" s="7">
        <v>0.2043587228</v>
      </c>
      <c r="I354" s="7">
        <v>-0.71128453199999997</v>
      </c>
      <c r="J354" s="7">
        <v>-0.65880106500000002</v>
      </c>
      <c r="K354" s="7">
        <v>0.19948720280000001</v>
      </c>
      <c r="L354" s="7">
        <v>-0.37140921300000002</v>
      </c>
      <c r="M354" s="7">
        <v>0.83293393910000002</v>
      </c>
      <c r="N354" s="7">
        <v>1.1161075698</v>
      </c>
      <c r="O354" s="7">
        <v>-0.14748852500000001</v>
      </c>
      <c r="P354" s="7">
        <v>-0.47842653400000001</v>
      </c>
    </row>
    <row r="355" spans="1:16" s="7" customFormat="1">
      <c r="A355" s="7" t="s">
        <v>123</v>
      </c>
      <c r="B355" s="7">
        <v>7.0861401874999999</v>
      </c>
      <c r="C355" s="7">
        <v>-6.1454782210000003</v>
      </c>
      <c r="D355" s="7">
        <v>7.2005679295</v>
      </c>
      <c r="E355" s="7">
        <v>5.9600032092999999</v>
      </c>
      <c r="F355" s="7">
        <v>4.2472829126000002</v>
      </c>
      <c r="G355" s="7">
        <v>-9.7805415000000007E-2</v>
      </c>
      <c r="H355" s="7">
        <v>5.1608807025000001</v>
      </c>
      <c r="I355" s="7">
        <v>2.0067815034000001</v>
      </c>
      <c r="J355" s="7">
        <v>-1.6341953950000001</v>
      </c>
      <c r="K355" s="7">
        <v>2.6129829663000002</v>
      </c>
      <c r="L355" s="7">
        <v>1.1212529329000001</v>
      </c>
      <c r="M355" s="7">
        <v>-1.6648432740000001</v>
      </c>
      <c r="N355" s="7">
        <v>4.4060688939999997</v>
      </c>
      <c r="O355" s="7">
        <v>-2.6666005519999998</v>
      </c>
      <c r="P355" s="7">
        <v>2.9862052814000002</v>
      </c>
    </row>
    <row r="356" spans="1:16" s="7" customFormat="1">
      <c r="A356" s="7" t="s">
        <v>124</v>
      </c>
      <c r="B356" s="7">
        <v>9.3827851718000002</v>
      </c>
      <c r="C356" s="7">
        <v>-15.114605559999999</v>
      </c>
      <c r="D356" s="7">
        <v>9.0280824432000006</v>
      </c>
      <c r="E356" s="7">
        <v>15.999853465999999</v>
      </c>
      <c r="F356" s="7">
        <v>2.6821010713</v>
      </c>
      <c r="G356" s="7">
        <v>0.98427852959999995</v>
      </c>
      <c r="H356" s="7">
        <v>-1.2520779689999999</v>
      </c>
      <c r="I356" s="7">
        <v>-1.3285606029999999</v>
      </c>
      <c r="J356" s="7">
        <v>0.46047840470000001</v>
      </c>
      <c r="K356" s="7">
        <v>4.7562782106999997</v>
      </c>
      <c r="L356" s="7">
        <v>0.71164704410000001</v>
      </c>
      <c r="M356" s="7">
        <v>2.5505590426999998</v>
      </c>
      <c r="N356" s="7">
        <v>5.3774684180000003</v>
      </c>
      <c r="O356" s="7">
        <v>-4.2683273499999999</v>
      </c>
      <c r="P356" s="7">
        <v>-3.020818416</v>
      </c>
    </row>
    <row r="357" spans="1:16" s="7" customFormat="1">
      <c r="A357" s="7" t="s">
        <v>169</v>
      </c>
      <c r="B357" s="7">
        <v>3.0002406994999999</v>
      </c>
      <c r="C357" s="7">
        <v>2.6529173428999999</v>
      </c>
      <c r="D357" s="7">
        <v>3.4351372224999999</v>
      </c>
      <c r="E357" s="7">
        <v>-0.56934232399999996</v>
      </c>
      <c r="F357" s="7">
        <v>0.27792157270000001</v>
      </c>
      <c r="G357" s="7">
        <v>2.4994386496000001</v>
      </c>
      <c r="H357" s="7">
        <v>-0.30643539800000003</v>
      </c>
      <c r="I357" s="7">
        <v>-0.91853700199999999</v>
      </c>
      <c r="J357" s="7">
        <v>7.5566662199999995E-2</v>
      </c>
      <c r="K357" s="7">
        <v>-0.16443851300000001</v>
      </c>
      <c r="L357" s="7">
        <v>-0.43753335900000001</v>
      </c>
      <c r="M357" s="7">
        <v>2.6469548745</v>
      </c>
      <c r="N357" s="7">
        <v>1.6762155777000001</v>
      </c>
      <c r="O357" s="7">
        <v>-0.36527197500000003</v>
      </c>
      <c r="P357" s="7">
        <v>-1.0743394690000001</v>
      </c>
    </row>
    <row r="358" spans="1:16" s="7" customFormat="1">
      <c r="A358" s="7" t="s">
        <v>170</v>
      </c>
      <c r="B358" s="7">
        <v>2.0284694632</v>
      </c>
      <c r="C358" s="7">
        <v>7.9957242000000001E-3</v>
      </c>
      <c r="D358" s="7">
        <v>2.5201397723999999</v>
      </c>
      <c r="E358" s="7">
        <v>-0.48432776999999999</v>
      </c>
      <c r="F358" s="7">
        <v>0.88701303949999999</v>
      </c>
      <c r="G358" s="7">
        <v>0.2410145574</v>
      </c>
      <c r="H358" s="7">
        <v>-9.1354586000000002E-2</v>
      </c>
      <c r="I358" s="7">
        <v>-0.988313675</v>
      </c>
      <c r="J358" s="7">
        <v>-0.45978170800000001</v>
      </c>
      <c r="K358" s="7">
        <v>0.92052747410000002</v>
      </c>
      <c r="L358" s="7">
        <v>8.1263355400000001E-2</v>
      </c>
      <c r="M358" s="7">
        <v>0.66231202339999995</v>
      </c>
      <c r="N358" s="7">
        <v>0.98936295870000002</v>
      </c>
      <c r="O358" s="7">
        <v>0.80604952949999997</v>
      </c>
      <c r="P358" s="7">
        <v>-0.65182283699999999</v>
      </c>
    </row>
    <row r="359" spans="1:16" s="7" customFormat="1">
      <c r="A359" s="7" t="s">
        <v>227</v>
      </c>
      <c r="B359" s="7">
        <v>9.1541248144999994</v>
      </c>
      <c r="C359" s="7">
        <v>-2.7299863910000002</v>
      </c>
      <c r="D359" s="7">
        <v>9.7413270481000005</v>
      </c>
      <c r="E359" s="7">
        <v>0.1321774969</v>
      </c>
      <c r="F359" s="7">
        <v>3.0875641985</v>
      </c>
      <c r="G359" s="7">
        <v>-0.80918057700000001</v>
      </c>
      <c r="H359" s="7">
        <v>-0.12968053199999999</v>
      </c>
      <c r="I359" s="7">
        <v>-1.5329207920000001</v>
      </c>
      <c r="J359" s="7">
        <v>-0.72403556099999999</v>
      </c>
      <c r="K359" s="7">
        <v>2.8541233110999999</v>
      </c>
      <c r="L359" s="7">
        <v>0.1603633844</v>
      </c>
      <c r="M359" s="7">
        <v>1.6978416766</v>
      </c>
      <c r="N359" s="7">
        <v>4.0615848266999999</v>
      </c>
      <c r="O359" s="7">
        <v>-0.68444746700000003</v>
      </c>
      <c r="P359" s="7">
        <v>0</v>
      </c>
    </row>
    <row r="360" spans="1:16" s="7" customFormat="1">
      <c r="A360" s="7" t="s">
        <v>139</v>
      </c>
      <c r="B360" s="7">
        <v>14.029307446000001</v>
      </c>
      <c r="C360" s="7">
        <v>1.3359870173999999</v>
      </c>
      <c r="D360" s="7">
        <v>10.774880743000001</v>
      </c>
      <c r="E360" s="7">
        <v>1.274582197</v>
      </c>
      <c r="F360" s="7">
        <v>3.6872759599</v>
      </c>
      <c r="G360" s="7">
        <v>-3.129132668</v>
      </c>
      <c r="H360" s="7">
        <v>1.4499208052999999</v>
      </c>
      <c r="I360" s="7">
        <v>-2.2770960740000001</v>
      </c>
      <c r="J360" s="7">
        <v>1.9959680184999999</v>
      </c>
      <c r="K360" s="7">
        <v>3.0439162572999998</v>
      </c>
      <c r="L360" s="7">
        <v>0.44807612730000002</v>
      </c>
      <c r="M360" s="7">
        <v>1.1952841793</v>
      </c>
      <c r="N360" s="7">
        <v>4.7917185253000003</v>
      </c>
      <c r="O360" s="7">
        <v>-2.2776489639999999</v>
      </c>
      <c r="P360" s="7">
        <v>0</v>
      </c>
    </row>
    <row r="361" spans="1:16" s="7" customFormat="1">
      <c r="A361" s="7" t="s">
        <v>226</v>
      </c>
      <c r="B361" s="7">
        <v>16.033766768</v>
      </c>
      <c r="C361" s="7">
        <v>-5.3079419970000004</v>
      </c>
      <c r="D361" s="7">
        <v>11.963546199</v>
      </c>
      <c r="E361" s="7">
        <v>1.0464683933000001</v>
      </c>
      <c r="F361" s="7">
        <v>6.8534454564000002</v>
      </c>
      <c r="G361" s="7">
        <v>-0.13699378100000001</v>
      </c>
      <c r="H361" s="7">
        <v>-1.407875846</v>
      </c>
      <c r="I361" s="7">
        <v>-1.526131175</v>
      </c>
      <c r="J361" s="7">
        <v>-2.5388677839999998</v>
      </c>
      <c r="K361" s="7">
        <v>4.1435974480000004</v>
      </c>
      <c r="L361" s="7">
        <v>4.4738616000000002E-3</v>
      </c>
      <c r="M361" s="7">
        <v>2.0816482429000001</v>
      </c>
      <c r="N361" s="7">
        <v>6.2539705208000003</v>
      </c>
      <c r="O361" s="7">
        <v>0.78721648560000002</v>
      </c>
      <c r="P361" s="7">
        <v>-3.7110320300000001</v>
      </c>
    </row>
    <row r="362" spans="1:16" s="7" customFormat="1">
      <c r="A362" s="7" t="s">
        <v>85</v>
      </c>
      <c r="B362" s="7">
        <v>21.705848406000001</v>
      </c>
      <c r="C362" s="7">
        <v>-6.8121454259999998</v>
      </c>
      <c r="D362" s="7">
        <v>4.3862065337000002</v>
      </c>
      <c r="E362" s="7">
        <v>10.112632736</v>
      </c>
      <c r="F362" s="7">
        <v>0.81368526460000001</v>
      </c>
      <c r="G362" s="7">
        <v>-1.025266282</v>
      </c>
      <c r="H362" s="7">
        <v>-2.0984490899999999</v>
      </c>
      <c r="I362" s="7">
        <v>-0.68489520100000001</v>
      </c>
      <c r="J362" s="7">
        <v>-2.9998215269999999</v>
      </c>
      <c r="K362" s="7">
        <v>6.0367266621000004</v>
      </c>
      <c r="L362" s="7">
        <v>4.4347794882000002</v>
      </c>
      <c r="M362" s="7">
        <v>23.176660979000001</v>
      </c>
      <c r="N362" s="7">
        <v>7.5606672980000003</v>
      </c>
      <c r="O362" s="7">
        <v>-9.9717036019999998</v>
      </c>
      <c r="P362" s="7">
        <v>-6.1212017019999996</v>
      </c>
    </row>
    <row r="363" spans="1:16" s="7" customFormat="1">
      <c r="A363" s="7" t="s">
        <v>94</v>
      </c>
      <c r="B363" s="7">
        <v>31.998638396</v>
      </c>
      <c r="C363" s="7">
        <v>-12.399061100000001</v>
      </c>
      <c r="D363" s="7">
        <v>4.4776535269000002</v>
      </c>
      <c r="E363" s="7">
        <v>4.2642174077000004</v>
      </c>
      <c r="F363" s="7">
        <v>3.9638492409000001</v>
      </c>
      <c r="G363" s="7">
        <v>-1.032801563</v>
      </c>
      <c r="H363" s="7">
        <v>-0.267055708</v>
      </c>
      <c r="I363" s="7">
        <v>-1.8945601480000001</v>
      </c>
      <c r="J363" s="7">
        <v>-2.200312576</v>
      </c>
      <c r="K363" s="7">
        <v>1.7699393201</v>
      </c>
      <c r="L363" s="7">
        <v>-1.7658858340000001</v>
      </c>
      <c r="M363" s="7">
        <v>4.1761742544000002</v>
      </c>
      <c r="N363" s="7">
        <v>4.0506096692</v>
      </c>
      <c r="O363" s="7">
        <v>-3.3897503690000002</v>
      </c>
      <c r="P363" s="7">
        <v>-0.14983516399999999</v>
      </c>
    </row>
    <row r="364" spans="1:16" s="7" customFormat="1">
      <c r="A364" s="7" t="s">
        <v>223</v>
      </c>
      <c r="B364" s="7">
        <v>2.7376523355</v>
      </c>
      <c r="C364" s="7">
        <v>1.9787066003</v>
      </c>
      <c r="D364" s="7">
        <v>3.8832312105</v>
      </c>
      <c r="E364" s="7">
        <v>-0.72202611900000002</v>
      </c>
      <c r="F364" s="7">
        <v>0</v>
      </c>
      <c r="G364" s="7">
        <v>1.4012650607999999</v>
      </c>
      <c r="H364" s="7">
        <v>-0.768094626</v>
      </c>
      <c r="I364" s="7">
        <v>-0.76528455699999998</v>
      </c>
      <c r="J364" s="7">
        <v>0</v>
      </c>
      <c r="K364" s="7">
        <v>0</v>
      </c>
      <c r="L364" s="7">
        <v>0</v>
      </c>
      <c r="M364" s="7">
        <v>-0.16314463900000001</v>
      </c>
      <c r="N364" s="7">
        <v>1.9539099966</v>
      </c>
      <c r="O364" s="7">
        <v>0.1381822657</v>
      </c>
      <c r="P364" s="7">
        <v>0</v>
      </c>
    </row>
    <row r="365" spans="1:16" s="7" customFormat="1">
      <c r="A365" s="7" t="s">
        <v>220</v>
      </c>
      <c r="B365" s="7">
        <v>1.3111129547</v>
      </c>
      <c r="C365" s="7">
        <v>0.79338318500000005</v>
      </c>
      <c r="D365" s="7">
        <v>2.5279057441999999</v>
      </c>
      <c r="E365" s="7">
        <v>-0.87782314900000002</v>
      </c>
      <c r="F365" s="7">
        <v>0</v>
      </c>
      <c r="G365" s="7">
        <v>0.7071143124</v>
      </c>
      <c r="H365" s="7">
        <v>-0.138553757</v>
      </c>
      <c r="I365" s="7">
        <v>-0.91175793800000005</v>
      </c>
      <c r="J365" s="7">
        <v>0</v>
      </c>
      <c r="K365" s="7">
        <v>0</v>
      </c>
      <c r="L365" s="7">
        <v>0</v>
      </c>
      <c r="M365" s="7">
        <v>-0.29572728700000001</v>
      </c>
      <c r="N365" s="7">
        <v>1.3269167794000001</v>
      </c>
      <c r="O365" s="7">
        <v>0.46411327940000002</v>
      </c>
      <c r="P365" s="7">
        <v>0</v>
      </c>
    </row>
    <row r="366" spans="1:16" s="7" customFormat="1">
      <c r="A366" s="7" t="s">
        <v>171</v>
      </c>
      <c r="B366" s="7">
        <v>15.114893892</v>
      </c>
      <c r="C366" s="7">
        <v>-7.2984012199999997</v>
      </c>
      <c r="D366" s="7">
        <v>6.4253417758999998</v>
      </c>
      <c r="E366" s="7">
        <v>2.8805487055999999</v>
      </c>
      <c r="F366" s="7">
        <v>4.3901023351999999</v>
      </c>
      <c r="G366" s="7">
        <v>1.3150332479</v>
      </c>
      <c r="H366" s="7">
        <v>0.52602750210000004</v>
      </c>
      <c r="I366" s="7">
        <v>-8.7006480999999997E-2</v>
      </c>
      <c r="J366" s="7">
        <v>0.99887093959999995</v>
      </c>
      <c r="K366" s="7">
        <v>6.5611506228999996</v>
      </c>
      <c r="L366" s="7">
        <v>-0.36012808099999999</v>
      </c>
      <c r="M366" s="7">
        <v>4.0490328481000004</v>
      </c>
      <c r="N366" s="7">
        <v>8.8305870148000007</v>
      </c>
      <c r="O366" s="7">
        <v>9.3034681499999994E-2</v>
      </c>
      <c r="P366" s="7">
        <v>6.4106288481</v>
      </c>
    </row>
    <row r="367" spans="1:16" s="7" customFormat="1">
      <c r="A367" s="7" t="s">
        <v>221</v>
      </c>
      <c r="B367">
        <v>17.566294578532521</v>
      </c>
      <c r="C367">
        <v>-4.2544806792672789</v>
      </c>
      <c r="D367">
        <v>13.059465912142841</v>
      </c>
      <c r="E367">
        <v>-8.6566100879439389E-3</v>
      </c>
      <c r="F367">
        <v>9.3333140911900827</v>
      </c>
      <c r="G367">
        <v>-3.4302957748325649</v>
      </c>
      <c r="H367">
        <v>-4.1228964329186866</v>
      </c>
      <c r="I367">
        <v>-2.04303905303947</v>
      </c>
      <c r="J367">
        <v>0.1108697709030078</v>
      </c>
      <c r="K367">
        <v>4.6775145058828009</v>
      </c>
      <c r="L367">
        <v>3.6149599726730881</v>
      </c>
      <c r="M367">
        <v>-3.367582231895669</v>
      </c>
      <c r="N367">
        <v>5.3717928711820866</v>
      </c>
      <c r="O367">
        <v>1.1087471110376541</v>
      </c>
      <c r="P367">
        <v>-1.22363327022132</v>
      </c>
    </row>
    <row r="368" spans="1:16" s="7" customFormat="1">
      <c r="A368" s="7" t="s">
        <v>231</v>
      </c>
      <c r="B368" s="7">
        <v>4.7546782383000004</v>
      </c>
      <c r="C368" s="7">
        <v>2.1476951651</v>
      </c>
      <c r="D368" s="7">
        <v>5.6378158708999999</v>
      </c>
      <c r="E368" s="7">
        <v>-0.464453754</v>
      </c>
      <c r="F368" s="7">
        <v>-0.37551712900000001</v>
      </c>
      <c r="G368" s="7">
        <v>1.1673125515</v>
      </c>
      <c r="H368" s="7">
        <v>0.28686760880000001</v>
      </c>
      <c r="I368" s="7">
        <v>-0.46547686799999999</v>
      </c>
      <c r="J368" s="7">
        <v>0.40878267010000002</v>
      </c>
      <c r="K368" s="7">
        <v>-0.18528299300000001</v>
      </c>
      <c r="L368" s="7">
        <v>-0.12308071499999999</v>
      </c>
      <c r="M368" s="7">
        <v>-1.0274544569999999</v>
      </c>
      <c r="N368" s="7">
        <v>2.0727633448999998</v>
      </c>
      <c r="O368" s="7">
        <v>0.18689783630000001</v>
      </c>
      <c r="P368" s="7">
        <v>0.4568775048</v>
      </c>
    </row>
    <row r="369" spans="1:17" s="7" customFormat="1">
      <c r="A369" s="7" t="s">
        <v>232</v>
      </c>
      <c r="B369" s="7">
        <v>3.1981611983999998</v>
      </c>
      <c r="C369" s="7">
        <v>1.1553099505</v>
      </c>
      <c r="D369" s="7">
        <v>5.2199499128999998</v>
      </c>
      <c r="E369" s="7">
        <v>-0.57960553699999995</v>
      </c>
      <c r="F369" s="7">
        <v>-0.29931682700000001</v>
      </c>
      <c r="G369" s="7">
        <v>0.75980300150000002</v>
      </c>
      <c r="H369" s="7">
        <v>0.13611734019999999</v>
      </c>
      <c r="I369" s="7">
        <v>-0.33137339500000002</v>
      </c>
      <c r="J369" s="7">
        <v>-0.158118853</v>
      </c>
      <c r="K369" s="7">
        <v>-0.28509457100000002</v>
      </c>
      <c r="L369" s="7">
        <v>-0.15360747799999999</v>
      </c>
      <c r="M369" s="7">
        <v>-0.23084515799999999</v>
      </c>
      <c r="N369" s="7">
        <v>2.0445845667000002</v>
      </c>
      <c r="O369" s="7">
        <v>0.11351847380000001</v>
      </c>
      <c r="P369" s="7">
        <v>0.51090432730000002</v>
      </c>
    </row>
    <row r="370" spans="1:17" s="7" customFormat="1"/>
    <row r="371" spans="1:17" s="7" customFormat="1"/>
    <row r="372" spans="1:17" s="7" customFormat="1"/>
    <row r="373" spans="1:17" s="7" customFormat="1"/>
    <row r="374" spans="1:17" s="7" customFormat="1"/>
    <row r="375" spans="1:17" s="7" customFormat="1"/>
    <row r="376" spans="1:17" s="7" customFormat="1"/>
    <row r="377" spans="1:17" s="7" customFormat="1">
      <c r="A377" s="31"/>
    </row>
    <row r="378" spans="1:17" s="7" customFormat="1">
      <c r="A378" s="31"/>
    </row>
    <row r="379" spans="1:17" s="7" customFormat="1">
      <c r="A379" s="7" t="s">
        <v>26</v>
      </c>
    </row>
    <row r="380" spans="1:17" s="7" customFormat="1" ht="14" thickBot="1">
      <c r="A380" s="167" t="s">
        <v>122</v>
      </c>
      <c r="B380" s="7" t="s">
        <v>144</v>
      </c>
      <c r="C380" s="7" t="s">
        <v>145</v>
      </c>
      <c r="D380" s="7" t="s">
        <v>146</v>
      </c>
      <c r="E380" s="7" t="s">
        <v>147</v>
      </c>
      <c r="F380" s="7" t="s">
        <v>148</v>
      </c>
      <c r="G380" s="7" t="s">
        <v>149</v>
      </c>
      <c r="H380" s="7" t="s">
        <v>150</v>
      </c>
      <c r="I380" s="7" t="s">
        <v>151</v>
      </c>
      <c r="J380" s="7" t="s">
        <v>152</v>
      </c>
      <c r="K380" s="7" t="s">
        <v>153</v>
      </c>
      <c r="L380" s="7" t="s">
        <v>154</v>
      </c>
      <c r="M380" s="7" t="s">
        <v>155</v>
      </c>
      <c r="N380" s="7" t="s">
        <v>156</v>
      </c>
      <c r="O380" s="7" t="s">
        <v>157</v>
      </c>
      <c r="P380" s="7" t="s">
        <v>158</v>
      </c>
      <c r="Q380" s="39" t="s">
        <v>160</v>
      </c>
    </row>
    <row r="381" spans="1:17" s="7" customFormat="1">
      <c r="A381" s="7" t="s">
        <v>105</v>
      </c>
      <c r="B381" s="7" t="s">
        <v>77</v>
      </c>
      <c r="C381" s="7">
        <v>4</v>
      </c>
      <c r="D381" s="7">
        <v>6</v>
      </c>
      <c r="E381" s="7">
        <v>8</v>
      </c>
      <c r="F381" s="7">
        <v>10</v>
      </c>
      <c r="G381" s="7">
        <v>12</v>
      </c>
      <c r="H381" s="7">
        <v>15</v>
      </c>
      <c r="I381" s="7">
        <v>20</v>
      </c>
    </row>
    <row r="382" spans="1:17" s="7" customFormat="1">
      <c r="A382" s="7" t="s">
        <v>84</v>
      </c>
      <c r="B382" s="7" t="s">
        <v>78</v>
      </c>
      <c r="C382" s="7">
        <v>4</v>
      </c>
      <c r="D382" s="7">
        <v>6</v>
      </c>
      <c r="E382" s="7">
        <v>8</v>
      </c>
      <c r="F382" s="7">
        <v>10</v>
      </c>
      <c r="G382" s="7">
        <v>12</v>
      </c>
      <c r="H382" s="7">
        <v>15</v>
      </c>
      <c r="I382" s="7">
        <v>20</v>
      </c>
      <c r="J382" s="7">
        <v>25</v>
      </c>
      <c r="K382" s="7">
        <v>30</v>
      </c>
    </row>
    <row r="383" spans="1:17" s="7" customFormat="1">
      <c r="A383" s="7" t="s">
        <v>82</v>
      </c>
      <c r="B383" s="7" t="s">
        <v>88</v>
      </c>
      <c r="C383" s="7">
        <v>2</v>
      </c>
      <c r="D383" s="7">
        <v>3</v>
      </c>
      <c r="E383" s="7">
        <v>4</v>
      </c>
      <c r="F383" s="7">
        <v>5</v>
      </c>
      <c r="G383" s="7">
        <v>6</v>
      </c>
      <c r="H383" s="7">
        <v>8</v>
      </c>
      <c r="I383" s="7">
        <v>10</v>
      </c>
      <c r="J383" s="7">
        <v>12</v>
      </c>
      <c r="K383" s="7">
        <v>15</v>
      </c>
      <c r="L383" s="7">
        <v>20</v>
      </c>
      <c r="M383" s="7">
        <v>25</v>
      </c>
      <c r="N383" s="7">
        <v>30</v>
      </c>
    </row>
    <row r="384" spans="1:17" s="7" customFormat="1">
      <c r="A384" s="7" t="s">
        <v>226</v>
      </c>
      <c r="B384" t="s">
        <v>89</v>
      </c>
      <c r="C384" s="7">
        <v>6.2E-2</v>
      </c>
      <c r="D384" s="7">
        <v>7.8E-2</v>
      </c>
      <c r="E384" s="7">
        <v>0.125</v>
      </c>
      <c r="F384" s="7">
        <v>0.17199999999999999</v>
      </c>
    </row>
    <row r="385" spans="1:17" s="7" customFormat="1">
      <c r="A385" s="7" t="s">
        <v>85</v>
      </c>
      <c r="B385" s="7" t="s">
        <v>79</v>
      </c>
      <c r="C385" s="7">
        <v>2</v>
      </c>
      <c r="D385" s="7">
        <v>4</v>
      </c>
      <c r="E385" s="7">
        <v>6</v>
      </c>
      <c r="F385" s="7">
        <v>8</v>
      </c>
      <c r="G385" s="7">
        <v>10</v>
      </c>
      <c r="H385" s="7">
        <v>12</v>
      </c>
      <c r="I385" s="7">
        <v>14</v>
      </c>
      <c r="J385" s="7">
        <v>16</v>
      </c>
    </row>
    <row r="386" spans="1:17" s="7" customFormat="1">
      <c r="A386" s="7" t="s">
        <v>94</v>
      </c>
      <c r="B386" s="7" t="s">
        <v>80</v>
      </c>
      <c r="C386" s="7">
        <v>2</v>
      </c>
      <c r="D386" s="7">
        <v>4</v>
      </c>
      <c r="E386" s="7">
        <v>6</v>
      </c>
      <c r="F386" s="7">
        <v>8</v>
      </c>
      <c r="G386" s="7">
        <v>10</v>
      </c>
    </row>
    <row r="387" spans="1:17" s="7" customFormat="1">
      <c r="A387" s="7" t="s">
        <v>123</v>
      </c>
      <c r="B387" s="7" t="s">
        <v>88</v>
      </c>
      <c r="C387" s="7">
        <v>2</v>
      </c>
      <c r="D387" s="7">
        <v>4</v>
      </c>
      <c r="E387" s="7">
        <v>6</v>
      </c>
      <c r="F387" s="7">
        <v>8</v>
      </c>
      <c r="G387" s="7">
        <v>10</v>
      </c>
      <c r="H387" s="7">
        <v>12</v>
      </c>
      <c r="I387" s="7">
        <v>15</v>
      </c>
      <c r="J387" s="7">
        <v>20</v>
      </c>
      <c r="K387" s="7">
        <v>30</v>
      </c>
    </row>
    <row r="388" spans="1:17" s="7" customFormat="1">
      <c r="A388" s="7" t="s">
        <v>124</v>
      </c>
      <c r="B388" s="7" t="s">
        <v>88</v>
      </c>
      <c r="C388" s="7">
        <v>2</v>
      </c>
      <c r="D388" s="7">
        <v>4</v>
      </c>
      <c r="E388" s="7">
        <v>6</v>
      </c>
      <c r="F388" s="7">
        <v>8</v>
      </c>
      <c r="G388" s="7">
        <v>10</v>
      </c>
      <c r="H388" s="7">
        <v>12</v>
      </c>
      <c r="I388" s="7">
        <v>15</v>
      </c>
      <c r="J388" s="7">
        <v>20</v>
      </c>
      <c r="K388" s="7">
        <v>30</v>
      </c>
    </row>
    <row r="389" spans="1:17" s="7" customFormat="1">
      <c r="A389" s="7" t="s">
        <v>227</v>
      </c>
      <c r="B389" s="7" t="s">
        <v>89</v>
      </c>
      <c r="C389" s="7">
        <v>6.2E-2</v>
      </c>
      <c r="D389" s="7">
        <v>7.8E-2</v>
      </c>
      <c r="E389" s="7">
        <v>0.125</v>
      </c>
      <c r="F389" s="7">
        <v>0.17199999999999999</v>
      </c>
    </row>
    <row r="390" spans="1:17" s="7" customFormat="1">
      <c r="A390" s="7" t="s">
        <v>90</v>
      </c>
      <c r="B390" s="7" t="s">
        <v>91</v>
      </c>
      <c r="C390" s="7">
        <v>6</v>
      </c>
      <c r="D390" s="7">
        <v>8</v>
      </c>
      <c r="E390" s="7">
        <v>10</v>
      </c>
      <c r="F390" s="7">
        <v>12</v>
      </c>
      <c r="G390" s="7">
        <v>15</v>
      </c>
      <c r="H390" s="7">
        <v>20</v>
      </c>
      <c r="I390" s="7">
        <v>25</v>
      </c>
    </row>
    <row r="391" spans="1:17" s="7" customFormat="1">
      <c r="A391" s="7" t="s">
        <v>169</v>
      </c>
      <c r="B391" s="7" t="s">
        <v>93</v>
      </c>
      <c r="C391" s="7">
        <v>2</v>
      </c>
      <c r="D391" s="7">
        <v>3</v>
      </c>
      <c r="E391" s="7">
        <v>4</v>
      </c>
      <c r="F391" s="7">
        <v>5</v>
      </c>
      <c r="G391" s="7">
        <v>6</v>
      </c>
      <c r="H391" s="7">
        <v>7</v>
      </c>
      <c r="I391" s="7">
        <v>8</v>
      </c>
      <c r="J391" s="7">
        <v>10</v>
      </c>
      <c r="K391" s="7">
        <v>12</v>
      </c>
    </row>
    <row r="392" spans="1:17" s="7" customFormat="1">
      <c r="A392" s="7" t="s">
        <v>139</v>
      </c>
      <c r="B392" t="s">
        <v>103</v>
      </c>
      <c r="C392" s="7">
        <v>6.0999999999999999E-2</v>
      </c>
      <c r="D392" s="7">
        <v>7.8E-2</v>
      </c>
      <c r="E392" s="7">
        <v>0.125</v>
      </c>
    </row>
    <row r="393" spans="1:17" s="7" customFormat="1">
      <c r="A393" s="7" t="s">
        <v>142</v>
      </c>
      <c r="B393" s="7">
        <v>40</v>
      </c>
      <c r="C393" s="7">
        <v>40</v>
      </c>
    </row>
    <row r="394" spans="1:17" s="7" customFormat="1">
      <c r="A394" s="7" t="s">
        <v>134</v>
      </c>
      <c r="B394" s="7" t="s">
        <v>136</v>
      </c>
      <c r="C394" s="7">
        <v>2</v>
      </c>
      <c r="D394" s="7">
        <v>3</v>
      </c>
      <c r="E394" s="7">
        <v>4</v>
      </c>
      <c r="F394" s="7">
        <v>6</v>
      </c>
      <c r="G394" s="7">
        <v>8</v>
      </c>
      <c r="H394" s="7">
        <v>10</v>
      </c>
      <c r="I394" s="7">
        <v>12</v>
      </c>
      <c r="J394" s="7">
        <v>15</v>
      </c>
      <c r="K394" s="7">
        <v>20</v>
      </c>
    </row>
    <row r="395" spans="1:17" s="7" customFormat="1">
      <c r="A395" s="7" t="s">
        <v>135</v>
      </c>
      <c r="B395" s="7" t="s">
        <v>136</v>
      </c>
      <c r="C395" s="7">
        <v>2</v>
      </c>
      <c r="D395" s="7">
        <v>3</v>
      </c>
      <c r="E395" s="7">
        <v>4</v>
      </c>
      <c r="F395" s="7">
        <v>6</v>
      </c>
      <c r="G395" s="7">
        <v>8</v>
      </c>
      <c r="H395" s="7">
        <v>10</v>
      </c>
      <c r="I395" s="7">
        <v>12</v>
      </c>
      <c r="J395" s="7">
        <v>15</v>
      </c>
      <c r="K395" s="7">
        <v>20</v>
      </c>
    </row>
    <row r="396" spans="1:17" s="7" customFormat="1">
      <c r="A396" s="7" t="s">
        <v>215</v>
      </c>
      <c r="B396" s="7" t="s">
        <v>216</v>
      </c>
      <c r="C396" s="7">
        <v>6.7000000000000004E-2</v>
      </c>
      <c r="D396" s="7">
        <v>8.2000000000000003E-2</v>
      </c>
      <c r="E396" s="7">
        <v>0.104</v>
      </c>
      <c r="F396" s="7">
        <v>0.125</v>
      </c>
      <c r="G396" s="7">
        <v>0.14399999999999999</v>
      </c>
    </row>
    <row r="397" spans="1:17" s="7" customFormat="1">
      <c r="A397" s="7" t="s">
        <v>214</v>
      </c>
      <c r="B397" s="7" t="s">
        <v>216</v>
      </c>
      <c r="C397" s="7">
        <v>6.7000000000000004E-2</v>
      </c>
      <c r="D397" s="7">
        <v>8.2000000000000003E-2</v>
      </c>
      <c r="E397" s="7">
        <v>0.104</v>
      </c>
      <c r="F397" s="7">
        <v>0.125</v>
      </c>
      <c r="G397" s="7">
        <v>0.14399999999999999</v>
      </c>
    </row>
    <row r="398" spans="1:17" s="7" customFormat="1">
      <c r="A398" s="7" t="s">
        <v>218</v>
      </c>
      <c r="B398" s="7" t="s">
        <v>219</v>
      </c>
      <c r="C398" s="7">
        <v>2.8000000000000001E-2</v>
      </c>
      <c r="D398" s="7">
        <v>3.7999999999999999E-2</v>
      </c>
      <c r="E398" s="7">
        <v>5.5E-2</v>
      </c>
      <c r="F398" s="7">
        <v>6.7000000000000004E-2</v>
      </c>
      <c r="G398" s="7">
        <v>6.8000000000000005E-2</v>
      </c>
      <c r="H398" s="7">
        <v>7.8E-2</v>
      </c>
      <c r="I398" s="7">
        <v>8.1000000000000003E-2</v>
      </c>
      <c r="J398" s="7">
        <v>9.2999999999999999E-2</v>
      </c>
      <c r="K398" s="7">
        <v>0.10299999999999999</v>
      </c>
      <c r="L398" s="7">
        <v>0.115</v>
      </c>
      <c r="M398" s="7">
        <v>0.125</v>
      </c>
      <c r="N398" s="7">
        <v>0.14799999999999999</v>
      </c>
      <c r="O398" s="7">
        <v>0.153</v>
      </c>
      <c r="P398" s="7">
        <v>0.159</v>
      </c>
      <c r="Q398" s="7">
        <v>0.16300000000000001</v>
      </c>
    </row>
    <row r="399" spans="1:17" s="7" customFormat="1">
      <c r="A399" s="7" t="s">
        <v>220</v>
      </c>
      <c r="B399" t="s">
        <v>103</v>
      </c>
      <c r="C399" s="7">
        <v>6.0999999999999999E-2</v>
      </c>
      <c r="D399" s="7">
        <v>7.8E-2</v>
      </c>
      <c r="E399" s="7">
        <v>0.125</v>
      </c>
    </row>
    <row r="400" spans="1:17" s="7" customFormat="1">
      <c r="A400" s="7" t="s">
        <v>223</v>
      </c>
      <c r="B400" s="7" t="s">
        <v>89</v>
      </c>
      <c r="C400" s="7">
        <v>6.2E-2</v>
      </c>
      <c r="D400" s="7">
        <v>7.8E-2</v>
      </c>
      <c r="E400" s="7">
        <v>0.125</v>
      </c>
      <c r="F400" s="7">
        <v>0.17199999999999999</v>
      </c>
    </row>
    <row r="401" spans="1:8" s="7" customFormat="1">
      <c r="A401" s="7" t="s">
        <v>221</v>
      </c>
      <c r="B401" t="s">
        <v>89</v>
      </c>
      <c r="C401" s="7">
        <v>6.2E-2</v>
      </c>
      <c r="D401" s="7">
        <v>7.8E-2</v>
      </c>
      <c r="E401" s="7">
        <v>0.125</v>
      </c>
      <c r="F401" s="7">
        <v>0.17199999999999999</v>
      </c>
    </row>
    <row r="402" spans="1:8" s="7" customFormat="1">
      <c r="A402" s="7" t="s">
        <v>222</v>
      </c>
      <c r="B402" s="7" t="s">
        <v>89</v>
      </c>
      <c r="C402" s="7">
        <v>6.2E-2</v>
      </c>
      <c r="D402" s="7">
        <v>7.8E-2</v>
      </c>
      <c r="E402" s="7">
        <v>0.125</v>
      </c>
      <c r="F402" s="7">
        <v>0.17199999999999999</v>
      </c>
    </row>
    <row r="403" spans="1:8" s="7" customFormat="1">
      <c r="A403" s="7" t="s">
        <v>224</v>
      </c>
      <c r="B403" s="7" t="s">
        <v>89</v>
      </c>
      <c r="C403" s="7">
        <v>6.2E-2</v>
      </c>
      <c r="D403" s="7">
        <v>7.8E-2</v>
      </c>
      <c r="E403" s="7">
        <v>0.125</v>
      </c>
      <c r="F403" s="7">
        <v>0.17199999999999999</v>
      </c>
    </row>
    <row r="404" spans="1:8" s="7" customFormat="1">
      <c r="A404" s="7" t="s">
        <v>221</v>
      </c>
      <c r="B404" s="7" t="s">
        <v>89</v>
      </c>
      <c r="C404" s="7">
        <v>6.2E-2</v>
      </c>
      <c r="D404" s="7">
        <v>7.8E-2</v>
      </c>
      <c r="E404" s="7">
        <v>0.125</v>
      </c>
      <c r="F404" s="7">
        <v>0.17199999999999999</v>
      </c>
    </row>
    <row r="405" spans="1:8" s="7" customFormat="1">
      <c r="A405" s="7" t="s">
        <v>171</v>
      </c>
      <c r="B405" s="7" t="s">
        <v>228</v>
      </c>
      <c r="C405" s="7">
        <v>4</v>
      </c>
      <c r="D405" s="7">
        <v>6</v>
      </c>
      <c r="E405" s="7">
        <v>8</v>
      </c>
    </row>
    <row r="406" spans="1:8" s="7" customFormat="1">
      <c r="A406" s="7" t="s">
        <v>231</v>
      </c>
      <c r="B406" s="7" t="s">
        <v>233</v>
      </c>
      <c r="C406" s="7">
        <v>1.6E-2</v>
      </c>
      <c r="D406" s="7">
        <v>0.02</v>
      </c>
      <c r="E406" s="7">
        <v>2.8000000000000001E-2</v>
      </c>
      <c r="F406" s="7">
        <v>4.7E-2</v>
      </c>
      <c r="G406" s="7">
        <v>6.3E-2</v>
      </c>
      <c r="H406" s="7">
        <v>8.5000000000000006E-2</v>
      </c>
    </row>
    <row r="407" spans="1:8" s="7" customFormat="1">
      <c r="A407" s="7" t="s">
        <v>232</v>
      </c>
      <c r="B407" s="7" t="s">
        <v>234</v>
      </c>
      <c r="C407" s="7">
        <v>1.6E-2</v>
      </c>
      <c r="D407" s="7">
        <v>0.02</v>
      </c>
      <c r="E407" s="7">
        <v>2.8000000000000001E-2</v>
      </c>
      <c r="F407" s="7">
        <v>3.3000000000000002E-2</v>
      </c>
    </row>
    <row r="408" spans="1:8" s="7" customFormat="1"/>
    <row r="409" spans="1:8" s="7" customFormat="1"/>
    <row r="410" spans="1:8" s="7" customFormat="1"/>
    <row r="411" spans="1:8" s="7" customFormat="1"/>
    <row r="412" spans="1:8" s="7" customFormat="1"/>
    <row r="413" spans="1:8" s="7" customFormat="1"/>
    <row r="414" spans="1:8" s="7" customFormat="1"/>
    <row r="415" spans="1:8" s="7" customFormat="1"/>
    <row r="416" spans="1:8" s="7" customFormat="1" ht="14">
      <c r="A416" s="34"/>
    </row>
    <row r="417" spans="1:16" s="7" customFormat="1">
      <c r="A417" s="7" t="s">
        <v>189</v>
      </c>
    </row>
    <row r="418" spans="1:16" s="7" customFormat="1" ht="14" thickBot="1">
      <c r="A418" s="167" t="s">
        <v>122</v>
      </c>
      <c r="B418" s="7" t="s">
        <v>159</v>
      </c>
      <c r="C418" s="7" t="s">
        <v>145</v>
      </c>
      <c r="D418" s="7" t="s">
        <v>146</v>
      </c>
      <c r="E418" s="7" t="s">
        <v>147</v>
      </c>
      <c r="F418" s="7" t="s">
        <v>148</v>
      </c>
      <c r="G418" s="7" t="s">
        <v>149</v>
      </c>
      <c r="H418" s="7" t="s">
        <v>150</v>
      </c>
      <c r="I418" s="7" t="s">
        <v>151</v>
      </c>
      <c r="J418" s="7" t="s">
        <v>152</v>
      </c>
      <c r="K418" s="7" t="s">
        <v>153</v>
      </c>
      <c r="L418" s="7" t="s">
        <v>154</v>
      </c>
      <c r="M418" s="7" t="s">
        <v>155</v>
      </c>
      <c r="N418" s="7" t="s">
        <v>156</v>
      </c>
      <c r="O418" s="7" t="s">
        <v>157</v>
      </c>
      <c r="P418" s="7" t="s">
        <v>144</v>
      </c>
    </row>
    <row r="419" spans="1:16" s="7" customFormat="1">
      <c r="A419" s="7" t="s">
        <v>105</v>
      </c>
      <c r="B419" s="7" t="s">
        <v>30</v>
      </c>
      <c r="C419" s="7">
        <v>0</v>
      </c>
      <c r="D419" s="7">
        <v>15</v>
      </c>
      <c r="E419" s="7">
        <v>30</v>
      </c>
      <c r="F419" s="7">
        <v>45</v>
      </c>
      <c r="G419" s="7">
        <v>60</v>
      </c>
      <c r="H419" s="7">
        <v>75</v>
      </c>
      <c r="I419" s="7">
        <v>90</v>
      </c>
      <c r="P419" s="7" t="s">
        <v>43</v>
      </c>
    </row>
    <row r="420" spans="1:16" s="7" customFormat="1">
      <c r="A420" s="7" t="s">
        <v>84</v>
      </c>
      <c r="B420" s="7" t="s">
        <v>30</v>
      </c>
      <c r="C420" s="7">
        <v>0</v>
      </c>
      <c r="D420" s="7">
        <v>15</v>
      </c>
      <c r="E420" s="7">
        <v>30</v>
      </c>
      <c r="F420" s="7">
        <v>45</v>
      </c>
      <c r="G420" s="7">
        <v>60</v>
      </c>
      <c r="H420" s="7">
        <v>75</v>
      </c>
      <c r="I420" s="7">
        <v>90</v>
      </c>
      <c r="P420" s="7" t="s">
        <v>43</v>
      </c>
    </row>
    <row r="421" spans="1:16" s="7" customFormat="1">
      <c r="A421" s="7" t="s">
        <v>82</v>
      </c>
      <c r="B421" s="7" t="s">
        <v>30</v>
      </c>
      <c r="C421" s="7">
        <v>0</v>
      </c>
      <c r="D421" s="7">
        <v>15</v>
      </c>
      <c r="E421" s="7">
        <v>30</v>
      </c>
      <c r="F421" s="7">
        <v>45</v>
      </c>
      <c r="G421" s="7">
        <v>60</v>
      </c>
      <c r="H421" s="7">
        <v>75</v>
      </c>
      <c r="I421" s="7">
        <v>90</v>
      </c>
      <c r="P421" s="7" t="s">
        <v>43</v>
      </c>
    </row>
    <row r="422" spans="1:16" s="7" customFormat="1">
      <c r="A422" s="7" t="s">
        <v>226</v>
      </c>
      <c r="B422" s="7" t="s">
        <v>203</v>
      </c>
      <c r="C422" s="7">
        <v>30</v>
      </c>
      <c r="D422" s="7">
        <v>55</v>
      </c>
      <c r="E422" s="7">
        <v>90</v>
      </c>
      <c r="P422" s="7" t="s">
        <v>102</v>
      </c>
    </row>
    <row r="423" spans="1:16" s="7" customFormat="1">
      <c r="A423" s="7" t="s">
        <v>85</v>
      </c>
      <c r="B423" s="7" t="s">
        <v>30</v>
      </c>
      <c r="C423" s="7">
        <v>0</v>
      </c>
      <c r="D423" s="7">
        <v>15</v>
      </c>
      <c r="E423" s="7">
        <v>30</v>
      </c>
      <c r="F423" s="7">
        <v>45</v>
      </c>
      <c r="G423" s="7">
        <v>60</v>
      </c>
      <c r="H423" s="7">
        <v>75</v>
      </c>
      <c r="I423" s="7">
        <v>90</v>
      </c>
      <c r="P423" s="7" t="s">
        <v>43</v>
      </c>
    </row>
    <row r="424" spans="1:16" s="7" customFormat="1">
      <c r="A424" s="7" t="s">
        <v>94</v>
      </c>
      <c r="B424" s="7" t="s">
        <v>30</v>
      </c>
      <c r="C424" s="7">
        <v>0</v>
      </c>
      <c r="D424" s="7">
        <v>15</v>
      </c>
      <c r="E424" s="7">
        <v>30</v>
      </c>
      <c r="F424" s="7">
        <v>45</v>
      </c>
      <c r="G424" s="7">
        <v>60</v>
      </c>
      <c r="H424" s="7">
        <v>75</v>
      </c>
      <c r="I424" s="7">
        <v>90</v>
      </c>
      <c r="P424" s="7" t="s">
        <v>43</v>
      </c>
    </row>
    <row r="425" spans="1:16" s="7" customFormat="1">
      <c r="A425" s="7" t="s">
        <v>123</v>
      </c>
      <c r="B425" s="7" t="s">
        <v>30</v>
      </c>
      <c r="C425" s="7">
        <v>0</v>
      </c>
      <c r="D425" s="7">
        <v>15</v>
      </c>
      <c r="E425" s="7">
        <v>30</v>
      </c>
      <c r="F425" s="7">
        <v>45</v>
      </c>
      <c r="G425" s="7">
        <v>60</v>
      </c>
      <c r="H425" s="7">
        <v>75</v>
      </c>
      <c r="I425" s="7">
        <v>90</v>
      </c>
      <c r="P425" s="7" t="s">
        <v>43</v>
      </c>
    </row>
    <row r="426" spans="1:16" s="7" customFormat="1">
      <c r="A426" s="7" t="s">
        <v>124</v>
      </c>
      <c r="B426" s="7" t="s">
        <v>30</v>
      </c>
      <c r="C426" s="7">
        <v>0</v>
      </c>
      <c r="D426" s="7">
        <v>15</v>
      </c>
      <c r="E426" s="7">
        <v>30</v>
      </c>
      <c r="F426" s="7">
        <v>45</v>
      </c>
      <c r="G426" s="7">
        <v>60</v>
      </c>
      <c r="H426" s="7">
        <v>75</v>
      </c>
      <c r="I426" s="7">
        <v>90</v>
      </c>
      <c r="P426" s="7" t="s">
        <v>43</v>
      </c>
    </row>
    <row r="427" spans="1:16" s="7" customFormat="1">
      <c r="A427" s="7" t="s">
        <v>227</v>
      </c>
      <c r="B427" s="7" t="s">
        <v>203</v>
      </c>
      <c r="C427" s="7">
        <v>5</v>
      </c>
      <c r="D427" s="7">
        <v>30</v>
      </c>
      <c r="P427" s="7" t="s">
        <v>140</v>
      </c>
    </row>
    <row r="428" spans="1:16" s="7" customFormat="1">
      <c r="A428" s="7" t="s">
        <v>90</v>
      </c>
      <c r="B428" s="7" t="s">
        <v>30</v>
      </c>
      <c r="C428" s="7">
        <v>0</v>
      </c>
      <c r="D428" s="7">
        <v>15</v>
      </c>
      <c r="E428" s="7">
        <v>30</v>
      </c>
      <c r="F428" s="7">
        <v>45</v>
      </c>
      <c r="P428" s="7" t="s">
        <v>92</v>
      </c>
    </row>
    <row r="429" spans="1:16" s="7" customFormat="1">
      <c r="A429" s="7" t="s">
        <v>169</v>
      </c>
      <c r="B429" s="7" t="s">
        <v>30</v>
      </c>
      <c r="C429" s="7">
        <v>0</v>
      </c>
      <c r="D429" s="7">
        <v>15</v>
      </c>
      <c r="E429" s="7">
        <v>30</v>
      </c>
      <c r="F429" s="7">
        <v>45</v>
      </c>
      <c r="P429" s="7" t="s">
        <v>92</v>
      </c>
    </row>
    <row r="430" spans="1:16" s="7" customFormat="1">
      <c r="A430" s="7" t="s">
        <v>139</v>
      </c>
      <c r="B430" s="7" t="s">
        <v>203</v>
      </c>
      <c r="C430" s="7">
        <v>22.5</v>
      </c>
      <c r="D430" s="7">
        <v>45</v>
      </c>
      <c r="P430" s="7" t="s">
        <v>141</v>
      </c>
    </row>
    <row r="431" spans="1:16" s="7" customFormat="1">
      <c r="A431" s="7" t="s">
        <v>142</v>
      </c>
      <c r="B431" s="7" t="s">
        <v>30</v>
      </c>
      <c r="C431" s="7">
        <v>0</v>
      </c>
      <c r="D431" s="7">
        <v>15</v>
      </c>
      <c r="E431" s="7">
        <v>30</v>
      </c>
      <c r="F431" s="7">
        <v>45</v>
      </c>
      <c r="G431" s="7">
        <v>60</v>
      </c>
      <c r="H431" s="7">
        <v>75</v>
      </c>
      <c r="I431" s="7">
        <v>90</v>
      </c>
      <c r="P431" s="7" t="s">
        <v>43</v>
      </c>
    </row>
    <row r="432" spans="1:16" s="7" customFormat="1">
      <c r="A432" s="7" t="s">
        <v>134</v>
      </c>
      <c r="B432" s="7" t="s">
        <v>30</v>
      </c>
      <c r="C432" s="7">
        <v>0</v>
      </c>
    </row>
    <row r="433" spans="1:16" s="7" customFormat="1">
      <c r="A433" s="7" t="s">
        <v>135</v>
      </c>
      <c r="B433" s="7" t="s">
        <v>30</v>
      </c>
      <c r="C433" s="7">
        <v>0</v>
      </c>
    </row>
    <row r="434" spans="1:16" s="7" customFormat="1">
      <c r="A434" s="7" t="s">
        <v>215</v>
      </c>
      <c r="B434" s="7" t="s">
        <v>203</v>
      </c>
      <c r="C434" s="7">
        <v>0</v>
      </c>
      <c r="P434" s="38">
        <v>0</v>
      </c>
    </row>
    <row r="435" spans="1:16" s="7" customFormat="1">
      <c r="A435" s="7" t="s">
        <v>214</v>
      </c>
      <c r="B435" s="7" t="s">
        <v>203</v>
      </c>
      <c r="C435" s="7">
        <v>15</v>
      </c>
      <c r="D435" s="7">
        <v>30</v>
      </c>
      <c r="P435" s="38" t="s">
        <v>217</v>
      </c>
    </row>
    <row r="436" spans="1:16" s="7" customFormat="1">
      <c r="A436" s="7" t="s">
        <v>218</v>
      </c>
      <c r="B436" s="7" t="s">
        <v>30</v>
      </c>
      <c r="C436" s="7">
        <v>0</v>
      </c>
    </row>
    <row r="437" spans="1:16" s="7" customFormat="1">
      <c r="A437" s="7" t="s">
        <v>220</v>
      </c>
      <c r="B437" s="7" t="s">
        <v>203</v>
      </c>
      <c r="C437" s="7">
        <v>0</v>
      </c>
    </row>
    <row r="438" spans="1:16" s="7" customFormat="1">
      <c r="A438" s="7" t="s">
        <v>223</v>
      </c>
      <c r="B438" s="7" t="s">
        <v>203</v>
      </c>
      <c r="C438" s="7">
        <v>0</v>
      </c>
    </row>
    <row r="439" spans="1:16" s="7" customFormat="1">
      <c r="A439" s="7" t="s">
        <v>221</v>
      </c>
      <c r="B439" s="7" t="s">
        <v>203</v>
      </c>
      <c r="C439" s="7">
        <v>30</v>
      </c>
      <c r="D439" s="7">
        <v>55</v>
      </c>
      <c r="E439" s="7">
        <v>90</v>
      </c>
    </row>
    <row r="440" spans="1:16" s="7" customFormat="1">
      <c r="A440" s="7" t="s">
        <v>222</v>
      </c>
      <c r="B440" s="7" t="s">
        <v>203</v>
      </c>
      <c r="C440" s="7">
        <v>5</v>
      </c>
      <c r="D440" s="7">
        <v>30</v>
      </c>
    </row>
    <row r="441" spans="1:16" s="7" customFormat="1">
      <c r="A441" s="7" t="s">
        <v>224</v>
      </c>
      <c r="B441" s="7" t="s">
        <v>203</v>
      </c>
      <c r="C441" s="7">
        <v>0</v>
      </c>
    </row>
    <row r="442" spans="1:16" s="7" customFormat="1" ht="14">
      <c r="A442" s="37"/>
    </row>
    <row r="443" spans="1:16" s="7" customFormat="1" ht="14">
      <c r="A443" s="37"/>
    </row>
    <row r="444" spans="1:16" s="7" customFormat="1" ht="14">
      <c r="A444" s="37"/>
    </row>
    <row r="445" spans="1:16" s="7" customFormat="1" ht="14">
      <c r="A445" s="34"/>
    </row>
    <row r="446" spans="1:16" s="7" customFormat="1" ht="15">
      <c r="A446" s="164" t="s">
        <v>194</v>
      </c>
    </row>
    <row r="447" spans="1:16" s="7" customFormat="1" ht="15">
      <c r="A447" s="164" t="s">
        <v>122</v>
      </c>
      <c r="B447" s="7" t="s">
        <v>159</v>
      </c>
      <c r="C447" s="7" t="s">
        <v>145</v>
      </c>
      <c r="D447" s="7" t="s">
        <v>146</v>
      </c>
      <c r="E447" s="7" t="s">
        <v>147</v>
      </c>
      <c r="F447" s="7" t="s">
        <v>148</v>
      </c>
      <c r="G447" s="7" t="s">
        <v>149</v>
      </c>
      <c r="H447" s="7" t="s">
        <v>150</v>
      </c>
      <c r="I447" s="7" t="s">
        <v>151</v>
      </c>
      <c r="J447" s="7" t="s">
        <v>152</v>
      </c>
      <c r="K447" s="7" t="s">
        <v>153</v>
      </c>
      <c r="L447" s="7" t="s">
        <v>154</v>
      </c>
      <c r="M447" s="7" t="s">
        <v>155</v>
      </c>
      <c r="N447" s="7" t="s">
        <v>156</v>
      </c>
      <c r="O447" s="7" t="s">
        <v>157</v>
      </c>
      <c r="P447" s="7" t="s">
        <v>144</v>
      </c>
    </row>
    <row r="448" spans="1:16" s="7" customFormat="1" ht="15">
      <c r="A448" s="164" t="s">
        <v>105</v>
      </c>
      <c r="B448" s="7" t="s">
        <v>30</v>
      </c>
      <c r="C448" s="7">
        <v>0</v>
      </c>
      <c r="D448" s="7">
        <v>15</v>
      </c>
      <c r="E448" s="7">
        <v>30</v>
      </c>
      <c r="F448" s="7">
        <v>45</v>
      </c>
      <c r="P448" s="7" t="s">
        <v>92</v>
      </c>
    </row>
    <row r="449" spans="1:16" s="7" customFormat="1" ht="15">
      <c r="A449" s="164" t="s">
        <v>84</v>
      </c>
      <c r="B449" s="7" t="s">
        <v>30</v>
      </c>
      <c r="C449" s="7">
        <v>0</v>
      </c>
      <c r="D449" s="7">
        <v>15</v>
      </c>
      <c r="E449" s="7">
        <v>30</v>
      </c>
      <c r="F449" s="7">
        <v>45</v>
      </c>
      <c r="P449" s="7" t="s">
        <v>92</v>
      </c>
    </row>
    <row r="450" spans="1:16" s="7" customFormat="1" ht="15">
      <c r="A450" s="164" t="s">
        <v>82</v>
      </c>
      <c r="B450" s="7" t="s">
        <v>30</v>
      </c>
      <c r="C450" s="7">
        <v>0</v>
      </c>
      <c r="D450" s="7">
        <v>15</v>
      </c>
      <c r="E450" s="7">
        <v>30</v>
      </c>
      <c r="F450" s="7">
        <v>45</v>
      </c>
      <c r="P450" s="7" t="s">
        <v>92</v>
      </c>
    </row>
    <row r="451" spans="1:16" s="7" customFormat="1" ht="15">
      <c r="A451" s="164" t="s">
        <v>90</v>
      </c>
      <c r="B451" s="7" t="s">
        <v>30</v>
      </c>
      <c r="C451" s="7">
        <v>0</v>
      </c>
      <c r="D451" s="7">
        <v>15</v>
      </c>
      <c r="P451" s="7" t="s">
        <v>195</v>
      </c>
    </row>
    <row r="452" spans="1:16" s="7" customFormat="1" ht="15">
      <c r="A452" s="164" t="s">
        <v>123</v>
      </c>
      <c r="B452" s="7" t="s">
        <v>30</v>
      </c>
      <c r="C452" s="7">
        <v>0</v>
      </c>
      <c r="D452" s="7">
        <v>15</v>
      </c>
      <c r="E452" s="7">
        <v>30</v>
      </c>
      <c r="F452" s="7">
        <v>45</v>
      </c>
      <c r="P452" s="7" t="s">
        <v>92</v>
      </c>
    </row>
    <row r="453" spans="1:16" s="7" customFormat="1" ht="15">
      <c r="A453" s="164" t="s">
        <v>124</v>
      </c>
      <c r="B453" s="7" t="s">
        <v>30</v>
      </c>
      <c r="C453" s="7">
        <v>0</v>
      </c>
      <c r="D453" s="7">
        <v>15</v>
      </c>
      <c r="E453" s="7">
        <v>30</v>
      </c>
      <c r="F453" s="7">
        <v>45</v>
      </c>
      <c r="P453" s="7" t="s">
        <v>92</v>
      </c>
    </row>
    <row r="454" spans="1:16" s="7" customFormat="1" ht="15">
      <c r="A454" s="164" t="s">
        <v>169</v>
      </c>
      <c r="B454" s="7" t="s">
        <v>30</v>
      </c>
      <c r="C454" s="7">
        <v>0</v>
      </c>
      <c r="D454" s="7">
        <v>15</v>
      </c>
      <c r="P454" s="7" t="s">
        <v>195</v>
      </c>
    </row>
    <row r="455" spans="1:16" s="7" customFormat="1" ht="15">
      <c r="A455" s="164" t="s">
        <v>170</v>
      </c>
      <c r="B455" s="7" t="s">
        <v>30</v>
      </c>
      <c r="C455" s="7">
        <v>0</v>
      </c>
      <c r="D455" s="7">
        <v>15</v>
      </c>
      <c r="P455" s="7" t="s">
        <v>195</v>
      </c>
    </row>
    <row r="456" spans="1:16" s="7" customFormat="1" ht="15">
      <c r="A456" s="164" t="s">
        <v>227</v>
      </c>
      <c r="B456" s="7" t="s">
        <v>203</v>
      </c>
      <c r="C456" s="7">
        <v>5</v>
      </c>
      <c r="D456" s="7">
        <v>30</v>
      </c>
      <c r="P456" s="7" t="s">
        <v>196</v>
      </c>
    </row>
    <row r="457" spans="1:16" s="7" customFormat="1" ht="15">
      <c r="A457" s="164" t="s">
        <v>139</v>
      </c>
      <c r="B457" s="7" t="s">
        <v>203</v>
      </c>
      <c r="C457" s="7">
        <v>22.5</v>
      </c>
      <c r="D457" s="7">
        <v>45</v>
      </c>
      <c r="P457" s="7" t="s">
        <v>197</v>
      </c>
    </row>
    <row r="458" spans="1:16" s="7" customFormat="1" ht="15">
      <c r="A458" s="164" t="s">
        <v>226</v>
      </c>
      <c r="B458" s="7" t="s">
        <v>203</v>
      </c>
      <c r="C458" s="7">
        <v>30</v>
      </c>
      <c r="D458" s="7">
        <v>55</v>
      </c>
      <c r="E458" s="7">
        <v>90</v>
      </c>
      <c r="P458" s="7" t="s">
        <v>192</v>
      </c>
    </row>
    <row r="459" spans="1:16" s="7" customFormat="1" ht="15">
      <c r="A459" s="164" t="s">
        <v>85</v>
      </c>
      <c r="B459" s="7" t="s">
        <v>30</v>
      </c>
      <c r="C459" s="7">
        <v>0</v>
      </c>
      <c r="D459" s="7">
        <v>15</v>
      </c>
      <c r="E459" s="7">
        <v>30</v>
      </c>
      <c r="F459" s="7">
        <v>45</v>
      </c>
      <c r="P459" s="7" t="s">
        <v>92</v>
      </c>
    </row>
    <row r="460" spans="1:16" s="7" customFormat="1" ht="15">
      <c r="A460" s="164" t="s">
        <v>94</v>
      </c>
      <c r="B460" s="7" t="s">
        <v>30</v>
      </c>
      <c r="C460" s="7">
        <v>0</v>
      </c>
      <c r="D460" s="7">
        <v>15</v>
      </c>
      <c r="E460" s="7">
        <v>30</v>
      </c>
      <c r="F460" s="7">
        <v>45</v>
      </c>
      <c r="P460" s="7" t="s">
        <v>92</v>
      </c>
    </row>
    <row r="461" spans="1:16" s="7" customFormat="1" ht="15">
      <c r="A461" s="164" t="s">
        <v>223</v>
      </c>
      <c r="B461" s="7" t="s">
        <v>204</v>
      </c>
      <c r="C461" s="7">
        <v>0</v>
      </c>
      <c r="P461" s="7" t="s">
        <v>198</v>
      </c>
    </row>
    <row r="462" spans="1:16" s="7" customFormat="1" ht="15">
      <c r="A462" s="164" t="s">
        <v>220</v>
      </c>
      <c r="B462" s="7" t="s">
        <v>204</v>
      </c>
      <c r="C462" s="7">
        <v>0</v>
      </c>
      <c r="P462" s="7" t="s">
        <v>198</v>
      </c>
    </row>
    <row r="463" spans="1:16" s="7" customFormat="1" ht="15">
      <c r="A463" s="164" t="s">
        <v>171</v>
      </c>
      <c r="B463" s="7" t="s">
        <v>30</v>
      </c>
      <c r="C463" s="7">
        <v>0</v>
      </c>
      <c r="D463" s="7">
        <v>15</v>
      </c>
      <c r="E463" s="7">
        <v>30</v>
      </c>
      <c r="F463" s="7">
        <v>45</v>
      </c>
      <c r="P463" s="7" t="s">
        <v>198</v>
      </c>
    </row>
    <row r="464" spans="1:16" s="7" customFormat="1">
      <c r="A464" s="7" t="s">
        <v>221</v>
      </c>
      <c r="B464" s="7" t="s">
        <v>203</v>
      </c>
      <c r="C464" s="7">
        <v>30</v>
      </c>
      <c r="D464" s="7">
        <v>55</v>
      </c>
      <c r="E464" s="7">
        <v>90</v>
      </c>
      <c r="P464" s="38" t="s">
        <v>102</v>
      </c>
    </row>
    <row r="465" spans="1:17" s="7" customFormat="1" ht="15">
      <c r="A465" s="164" t="s">
        <v>231</v>
      </c>
      <c r="B465" s="7" t="s">
        <v>235</v>
      </c>
      <c r="C465" s="7">
        <v>9.4E-2</v>
      </c>
      <c r="D465" s="7">
        <v>0.125</v>
      </c>
      <c r="E465" s="7">
        <v>0.1875</v>
      </c>
      <c r="F465" s="7">
        <v>0.27850000000000003</v>
      </c>
      <c r="P465" s="7" t="s">
        <v>236</v>
      </c>
    </row>
    <row r="466" spans="1:17" s="7" customFormat="1" ht="15">
      <c r="A466" s="164" t="s">
        <v>232</v>
      </c>
      <c r="B466" s="7" t="s">
        <v>235</v>
      </c>
      <c r="C466" s="7">
        <v>9.4E-2</v>
      </c>
      <c r="D466" s="7">
        <v>0.125</v>
      </c>
      <c r="E466" s="7">
        <v>0.1875</v>
      </c>
      <c r="F466" s="7">
        <v>0.27850000000000003</v>
      </c>
      <c r="P466" s="7" t="s">
        <v>236</v>
      </c>
    </row>
    <row r="467" spans="1:17" s="7" customFormat="1" ht="14">
      <c r="A467" s="34"/>
    </row>
    <row r="468" spans="1:17" s="7" customFormat="1" ht="14">
      <c r="A468" s="34"/>
    </row>
    <row r="469" spans="1:17" s="7" customFormat="1" ht="14">
      <c r="A469" s="34"/>
    </row>
    <row r="470" spans="1:17" s="7" customFormat="1" ht="14">
      <c r="A470" s="34"/>
    </row>
    <row r="471" spans="1:17" s="7" customFormat="1" ht="14">
      <c r="A471" s="34"/>
    </row>
    <row r="472" spans="1:17" s="7" customFormat="1" ht="14">
      <c r="A472" s="34"/>
    </row>
    <row r="473" spans="1:17" s="7" customFormat="1" ht="14">
      <c r="A473" s="34"/>
    </row>
    <row r="474" spans="1:17" s="7" customFormat="1" ht="14">
      <c r="A474" s="34"/>
    </row>
    <row r="475" spans="1:17" s="7" customFormat="1" ht="14">
      <c r="A475" s="34"/>
    </row>
    <row r="476" spans="1:17" s="7" customFormat="1" ht="15">
      <c r="A476" s="34" t="s">
        <v>187</v>
      </c>
    </row>
    <row r="477" spans="1:17" s="7" customFormat="1" ht="15">
      <c r="A477" s="164" t="s">
        <v>122</v>
      </c>
      <c r="B477" s="7" t="s">
        <v>145</v>
      </c>
      <c r="C477" s="7" t="s">
        <v>146</v>
      </c>
      <c r="D477" s="7" t="s">
        <v>147</v>
      </c>
      <c r="E477" s="164" t="s">
        <v>148</v>
      </c>
      <c r="F477" s="7" t="s">
        <v>149</v>
      </c>
      <c r="G477" s="7" t="s">
        <v>150</v>
      </c>
      <c r="H477" s="7" t="s">
        <v>151</v>
      </c>
      <c r="I477" s="164" t="s">
        <v>152</v>
      </c>
      <c r="J477" s="7" t="s">
        <v>153</v>
      </c>
      <c r="K477" s="7" t="s">
        <v>154</v>
      </c>
      <c r="L477" s="7" t="s">
        <v>155</v>
      </c>
      <c r="M477" s="191" t="s">
        <v>156</v>
      </c>
      <c r="N477" s="192" t="s">
        <v>157</v>
      </c>
      <c r="O477" s="192" t="s">
        <v>158</v>
      </c>
      <c r="P477" s="191" t="s">
        <v>160</v>
      </c>
      <c r="Q477" s="7" t="s">
        <v>144</v>
      </c>
    </row>
    <row r="478" spans="1:17" s="7" customFormat="1" ht="15">
      <c r="A478" s="164" t="s">
        <v>105</v>
      </c>
      <c r="B478" s="7">
        <v>120</v>
      </c>
      <c r="C478" s="7">
        <v>125</v>
      </c>
      <c r="D478" s="7">
        <v>130</v>
      </c>
      <c r="E478" s="7">
        <v>135</v>
      </c>
      <c r="F478" s="7">
        <v>140</v>
      </c>
      <c r="G478" s="7">
        <v>145</v>
      </c>
      <c r="H478" s="7">
        <v>150</v>
      </c>
      <c r="I478" s="7">
        <v>155</v>
      </c>
      <c r="J478" s="7">
        <v>160</v>
      </c>
      <c r="K478" s="7">
        <v>165</v>
      </c>
      <c r="L478" s="7">
        <v>170</v>
      </c>
      <c r="M478" s="7">
        <v>175</v>
      </c>
      <c r="N478" s="7">
        <v>180</v>
      </c>
      <c r="P478" s="190"/>
      <c r="Q478" s="7" t="s">
        <v>210</v>
      </c>
    </row>
    <row r="479" spans="1:17" s="7" customFormat="1" ht="15">
      <c r="A479" s="164" t="s">
        <v>84</v>
      </c>
      <c r="B479" s="7">
        <v>120</v>
      </c>
      <c r="C479" s="7">
        <v>125</v>
      </c>
      <c r="D479" s="7">
        <v>130</v>
      </c>
      <c r="E479" s="7">
        <v>135</v>
      </c>
      <c r="F479" s="7">
        <v>140</v>
      </c>
      <c r="G479" s="7">
        <v>145</v>
      </c>
      <c r="H479" s="7">
        <v>150</v>
      </c>
      <c r="I479" s="7">
        <v>155</v>
      </c>
      <c r="J479" s="7">
        <v>160</v>
      </c>
      <c r="K479" s="7">
        <v>165</v>
      </c>
      <c r="L479" s="7">
        <v>170</v>
      </c>
      <c r="M479" s="7">
        <v>175</v>
      </c>
      <c r="N479" s="7">
        <v>180</v>
      </c>
      <c r="P479" s="190"/>
      <c r="Q479" s="7" t="s">
        <v>210</v>
      </c>
    </row>
    <row r="480" spans="1:17" s="7" customFormat="1" ht="15">
      <c r="A480" s="164" t="s">
        <v>82</v>
      </c>
      <c r="B480" s="7">
        <v>120</v>
      </c>
      <c r="C480" s="7">
        <v>125</v>
      </c>
      <c r="D480" s="7">
        <v>130</v>
      </c>
      <c r="E480" s="7">
        <v>135</v>
      </c>
      <c r="F480" s="7">
        <v>140</v>
      </c>
      <c r="G480" s="7">
        <v>145</v>
      </c>
      <c r="H480" s="7">
        <v>150</v>
      </c>
      <c r="I480" s="7">
        <v>155</v>
      </c>
      <c r="J480" s="7">
        <v>160</v>
      </c>
      <c r="K480" s="7">
        <v>165</v>
      </c>
      <c r="L480" s="7">
        <v>170</v>
      </c>
      <c r="M480" s="7">
        <v>175</v>
      </c>
      <c r="N480" s="7">
        <v>180</v>
      </c>
      <c r="P480" s="190"/>
      <c r="Q480" s="7" t="s">
        <v>210</v>
      </c>
    </row>
    <row r="481" spans="1:17" s="7" customFormat="1" ht="15">
      <c r="A481" s="164" t="s">
        <v>83</v>
      </c>
      <c r="B481" s="7">
        <v>120</v>
      </c>
      <c r="C481" s="7">
        <v>125</v>
      </c>
      <c r="D481" s="7">
        <v>130</v>
      </c>
      <c r="E481" s="7">
        <v>135</v>
      </c>
      <c r="F481" s="7">
        <v>140</v>
      </c>
      <c r="G481" s="7">
        <v>145</v>
      </c>
      <c r="H481" s="7">
        <v>150</v>
      </c>
      <c r="I481" s="7">
        <v>155</v>
      </c>
      <c r="J481" s="7">
        <v>160</v>
      </c>
      <c r="K481" s="7">
        <v>165</v>
      </c>
      <c r="L481" s="7">
        <v>170</v>
      </c>
      <c r="M481" s="7">
        <v>175</v>
      </c>
      <c r="N481" s="7">
        <v>180</v>
      </c>
      <c r="P481" s="190"/>
      <c r="Q481" s="7" t="s">
        <v>210</v>
      </c>
    </row>
    <row r="482" spans="1:17" s="7" customFormat="1" ht="15">
      <c r="A482" s="164" t="s">
        <v>85</v>
      </c>
      <c r="B482" s="7">
        <v>120</v>
      </c>
      <c r="C482" s="7">
        <v>125</v>
      </c>
      <c r="D482" s="7">
        <v>130</v>
      </c>
      <c r="E482" s="7">
        <v>135</v>
      </c>
      <c r="F482" s="7">
        <v>140</v>
      </c>
      <c r="G482" s="7">
        <v>145</v>
      </c>
      <c r="H482" s="7">
        <v>150</v>
      </c>
      <c r="I482" s="7">
        <v>155</v>
      </c>
      <c r="J482" s="7">
        <v>160</v>
      </c>
      <c r="K482" s="7">
        <v>165</v>
      </c>
      <c r="L482" s="7">
        <v>170</v>
      </c>
      <c r="M482" s="7">
        <v>175</v>
      </c>
      <c r="N482" s="7">
        <v>180</v>
      </c>
      <c r="P482" s="190"/>
      <c r="Q482" s="7" t="s">
        <v>210</v>
      </c>
    </row>
    <row r="483" spans="1:17" s="7" customFormat="1" ht="15">
      <c r="A483" s="164" t="s">
        <v>94</v>
      </c>
      <c r="B483" s="7">
        <v>120</v>
      </c>
      <c r="C483" s="7">
        <v>125</v>
      </c>
      <c r="D483" s="7">
        <v>130</v>
      </c>
      <c r="E483" s="7">
        <v>135</v>
      </c>
      <c r="F483" s="7">
        <v>140</v>
      </c>
      <c r="G483" s="7">
        <v>145</v>
      </c>
      <c r="H483" s="7">
        <v>150</v>
      </c>
      <c r="I483" s="7">
        <v>155</v>
      </c>
      <c r="J483" s="7">
        <v>160</v>
      </c>
      <c r="K483" s="7">
        <v>165</v>
      </c>
      <c r="L483" s="7">
        <v>170</v>
      </c>
      <c r="M483" s="7">
        <v>175</v>
      </c>
      <c r="N483" s="7">
        <v>180</v>
      </c>
      <c r="P483" s="190"/>
      <c r="Q483" s="7" t="s">
        <v>210</v>
      </c>
    </row>
    <row r="484" spans="1:17" s="7" customFormat="1" ht="15">
      <c r="A484" s="164" t="s">
        <v>123</v>
      </c>
      <c r="B484" s="7">
        <v>120</v>
      </c>
      <c r="C484" s="7">
        <v>125</v>
      </c>
      <c r="D484" s="7">
        <v>130</v>
      </c>
      <c r="E484" s="7">
        <v>135</v>
      </c>
      <c r="F484" s="7">
        <v>140</v>
      </c>
      <c r="G484" s="7">
        <v>145</v>
      </c>
      <c r="H484" s="7">
        <v>150</v>
      </c>
      <c r="I484" s="7">
        <v>155</v>
      </c>
      <c r="J484" s="7">
        <v>160</v>
      </c>
      <c r="K484" s="7">
        <v>165</v>
      </c>
      <c r="L484" s="7">
        <v>170</v>
      </c>
      <c r="M484" s="7">
        <v>175</v>
      </c>
      <c r="N484" s="7">
        <v>180</v>
      </c>
      <c r="P484" s="190"/>
      <c r="Q484" s="7" t="s">
        <v>210</v>
      </c>
    </row>
    <row r="485" spans="1:17" s="7" customFormat="1" ht="15">
      <c r="A485" s="164" t="s">
        <v>124</v>
      </c>
      <c r="B485" s="7">
        <v>120</v>
      </c>
      <c r="C485" s="7">
        <v>125</v>
      </c>
      <c r="D485" s="7">
        <v>130</v>
      </c>
      <c r="E485" s="7">
        <v>135</v>
      </c>
      <c r="F485" s="7">
        <v>140</v>
      </c>
      <c r="G485" s="7">
        <v>145</v>
      </c>
      <c r="H485" s="7">
        <v>150</v>
      </c>
      <c r="I485" s="7">
        <v>155</v>
      </c>
      <c r="J485" s="7">
        <v>160</v>
      </c>
      <c r="K485" s="7">
        <v>165</v>
      </c>
      <c r="L485" s="7">
        <v>170</v>
      </c>
      <c r="M485" s="7">
        <v>175</v>
      </c>
      <c r="N485" s="7">
        <v>180</v>
      </c>
      <c r="P485" s="190"/>
      <c r="Q485" s="7" t="s">
        <v>210</v>
      </c>
    </row>
    <row r="486" spans="1:17" s="7" customFormat="1" ht="15">
      <c r="A486" s="164" t="s">
        <v>227</v>
      </c>
      <c r="B486" s="7">
        <v>120</v>
      </c>
      <c r="C486" s="7">
        <v>125</v>
      </c>
      <c r="D486" s="7">
        <v>130</v>
      </c>
      <c r="E486" s="7">
        <v>135</v>
      </c>
      <c r="F486" s="7">
        <v>140</v>
      </c>
      <c r="G486" s="7">
        <v>145</v>
      </c>
      <c r="H486" s="7">
        <v>150</v>
      </c>
      <c r="I486" s="7">
        <v>155</v>
      </c>
      <c r="J486" s="7">
        <v>160</v>
      </c>
      <c r="K486" s="7">
        <v>165</v>
      </c>
      <c r="L486" s="7">
        <v>170</v>
      </c>
      <c r="M486" s="7">
        <v>175</v>
      </c>
      <c r="N486" s="7">
        <v>180</v>
      </c>
      <c r="P486" s="190"/>
      <c r="Q486" s="7" t="s">
        <v>210</v>
      </c>
    </row>
    <row r="487" spans="1:17" s="7" customFormat="1" ht="15">
      <c r="A487" s="164" t="s">
        <v>90</v>
      </c>
      <c r="B487" s="7">
        <v>120</v>
      </c>
      <c r="C487" s="7">
        <v>125</v>
      </c>
      <c r="D487" s="7">
        <v>130</v>
      </c>
      <c r="E487" s="7">
        <v>135</v>
      </c>
      <c r="F487" s="7">
        <v>140</v>
      </c>
      <c r="G487" s="7">
        <v>145</v>
      </c>
      <c r="H487" s="7">
        <v>150</v>
      </c>
      <c r="I487" s="7">
        <v>155</v>
      </c>
      <c r="J487" s="7">
        <v>160</v>
      </c>
      <c r="K487" s="7">
        <v>165</v>
      </c>
      <c r="L487" s="7">
        <v>170</v>
      </c>
      <c r="M487" s="7">
        <v>175</v>
      </c>
      <c r="N487" s="7">
        <v>180</v>
      </c>
      <c r="P487" s="190"/>
      <c r="Q487" s="7" t="s">
        <v>210</v>
      </c>
    </row>
    <row r="488" spans="1:17" s="7" customFormat="1" ht="15">
      <c r="A488" s="164" t="s">
        <v>169</v>
      </c>
      <c r="B488" s="7">
        <v>120</v>
      </c>
      <c r="C488" s="7">
        <v>125</v>
      </c>
      <c r="D488" s="7">
        <v>130</v>
      </c>
      <c r="E488" s="7">
        <v>135</v>
      </c>
      <c r="F488" s="7">
        <v>140</v>
      </c>
      <c r="G488" s="7">
        <v>145</v>
      </c>
      <c r="H488" s="7">
        <v>150</v>
      </c>
      <c r="I488" s="7">
        <v>155</v>
      </c>
      <c r="J488" s="7">
        <v>160</v>
      </c>
      <c r="K488" s="7">
        <v>165</v>
      </c>
      <c r="L488" s="7">
        <v>170</v>
      </c>
      <c r="M488" s="7">
        <v>175</v>
      </c>
      <c r="N488" s="7">
        <v>180</v>
      </c>
      <c r="P488" s="190"/>
      <c r="Q488" s="7" t="s">
        <v>210</v>
      </c>
    </row>
    <row r="489" spans="1:17" s="7" customFormat="1" ht="15">
      <c r="A489" s="164" t="s">
        <v>139</v>
      </c>
      <c r="B489" s="7">
        <v>120</v>
      </c>
      <c r="C489" s="7">
        <v>125</v>
      </c>
      <c r="D489" s="7">
        <v>130</v>
      </c>
      <c r="E489" s="7">
        <v>135</v>
      </c>
      <c r="F489" s="7">
        <v>140</v>
      </c>
      <c r="G489" s="7">
        <v>145</v>
      </c>
      <c r="H489" s="7">
        <v>150</v>
      </c>
      <c r="I489" s="7">
        <v>155</v>
      </c>
      <c r="J489" s="7">
        <v>160</v>
      </c>
      <c r="K489" s="7">
        <v>165</v>
      </c>
      <c r="L489" s="7">
        <v>170</v>
      </c>
      <c r="M489" s="7">
        <v>175</v>
      </c>
      <c r="N489" s="7">
        <v>180</v>
      </c>
      <c r="P489" s="190"/>
      <c r="Q489" s="7" t="s">
        <v>210</v>
      </c>
    </row>
    <row r="490" spans="1:17" s="7" customFormat="1" ht="15">
      <c r="A490" s="164" t="s">
        <v>142</v>
      </c>
      <c r="B490" s="7">
        <v>120</v>
      </c>
      <c r="C490" s="7">
        <v>125</v>
      </c>
      <c r="D490" s="7">
        <v>130</v>
      </c>
      <c r="E490" s="7">
        <v>135</v>
      </c>
      <c r="F490" s="7">
        <v>140</v>
      </c>
      <c r="G490" s="7">
        <v>145</v>
      </c>
      <c r="H490" s="7">
        <v>150</v>
      </c>
      <c r="I490" s="7">
        <v>155</v>
      </c>
      <c r="J490" s="7">
        <v>160</v>
      </c>
      <c r="K490" s="7">
        <v>165</v>
      </c>
      <c r="L490" s="7">
        <v>170</v>
      </c>
      <c r="M490" s="7">
        <v>175</v>
      </c>
      <c r="N490" s="7">
        <v>180</v>
      </c>
      <c r="P490" s="190"/>
      <c r="Q490" s="7" t="s">
        <v>210</v>
      </c>
    </row>
    <row r="491" spans="1:17" s="7" customFormat="1" ht="15">
      <c r="A491" s="164" t="s">
        <v>134</v>
      </c>
      <c r="B491" s="7">
        <v>120</v>
      </c>
      <c r="C491" s="7">
        <v>125</v>
      </c>
      <c r="D491" s="7">
        <v>130</v>
      </c>
      <c r="E491" s="7">
        <v>135</v>
      </c>
      <c r="F491" s="7">
        <v>140</v>
      </c>
      <c r="G491" s="7">
        <v>145</v>
      </c>
      <c r="H491" s="7">
        <v>150</v>
      </c>
      <c r="I491" s="7">
        <v>155</v>
      </c>
      <c r="J491" s="7">
        <v>160</v>
      </c>
      <c r="K491" s="7">
        <v>165</v>
      </c>
      <c r="L491" s="7">
        <v>170</v>
      </c>
      <c r="M491" s="7">
        <v>175</v>
      </c>
      <c r="N491" s="7">
        <v>180</v>
      </c>
      <c r="P491" s="190"/>
      <c r="Q491" s="7" t="s">
        <v>210</v>
      </c>
    </row>
    <row r="492" spans="1:17" s="7" customFormat="1" ht="15">
      <c r="A492" s="164" t="s">
        <v>135</v>
      </c>
      <c r="B492" s="7">
        <v>120</v>
      </c>
      <c r="C492" s="7">
        <v>125</v>
      </c>
      <c r="D492" s="7">
        <v>130</v>
      </c>
      <c r="E492" s="7">
        <v>135</v>
      </c>
      <c r="F492" s="7">
        <v>140</v>
      </c>
      <c r="G492" s="7">
        <v>145</v>
      </c>
      <c r="H492" s="7">
        <v>150</v>
      </c>
      <c r="I492" s="7">
        <v>155</v>
      </c>
      <c r="J492" s="7">
        <v>160</v>
      </c>
      <c r="K492" s="7">
        <v>165</v>
      </c>
      <c r="L492" s="7">
        <v>170</v>
      </c>
      <c r="M492" s="7">
        <v>175</v>
      </c>
      <c r="N492" s="7">
        <v>180</v>
      </c>
      <c r="P492" s="190"/>
      <c r="Q492" s="7" t="s">
        <v>210</v>
      </c>
    </row>
    <row r="493" spans="1:17" s="7" customFormat="1">
      <c r="A493" s="7" t="s">
        <v>215</v>
      </c>
      <c r="B493" s="7">
        <v>120</v>
      </c>
      <c r="C493" s="7">
        <v>125</v>
      </c>
      <c r="D493" s="7">
        <v>130</v>
      </c>
      <c r="E493" s="7">
        <v>135</v>
      </c>
      <c r="F493" s="7">
        <v>140</v>
      </c>
      <c r="G493" s="7">
        <v>145</v>
      </c>
      <c r="H493" s="7">
        <v>150</v>
      </c>
      <c r="I493" s="7">
        <v>155</v>
      </c>
      <c r="J493" s="7">
        <v>160</v>
      </c>
      <c r="K493" s="7">
        <v>165</v>
      </c>
      <c r="L493" s="7">
        <v>170</v>
      </c>
      <c r="M493" s="7">
        <v>175</v>
      </c>
      <c r="N493" s="7">
        <v>180</v>
      </c>
      <c r="Q493" s="7" t="s">
        <v>210</v>
      </c>
    </row>
    <row r="494" spans="1:17" s="7" customFormat="1">
      <c r="A494" s="7" t="s">
        <v>214</v>
      </c>
      <c r="B494" s="7">
        <v>120</v>
      </c>
      <c r="C494" s="7">
        <v>125</v>
      </c>
      <c r="D494" s="7">
        <v>130</v>
      </c>
      <c r="E494" s="7">
        <v>135</v>
      </c>
      <c r="F494" s="7">
        <v>140</v>
      </c>
      <c r="G494" s="7">
        <v>145</v>
      </c>
      <c r="H494" s="7">
        <v>150</v>
      </c>
      <c r="I494" s="7">
        <v>155</v>
      </c>
      <c r="J494" s="7">
        <v>160</v>
      </c>
      <c r="K494" s="7">
        <v>165</v>
      </c>
      <c r="L494" s="7">
        <v>170</v>
      </c>
      <c r="M494" s="7">
        <v>175</v>
      </c>
      <c r="N494" s="7">
        <v>180</v>
      </c>
      <c r="Q494" s="7" t="s">
        <v>210</v>
      </c>
    </row>
    <row r="495" spans="1:17" s="7" customFormat="1">
      <c r="A495" s="7" t="s">
        <v>218</v>
      </c>
      <c r="B495" s="7">
        <v>120</v>
      </c>
      <c r="C495" s="7">
        <v>125</v>
      </c>
      <c r="D495" s="7">
        <v>130</v>
      </c>
      <c r="E495" s="7">
        <v>135</v>
      </c>
      <c r="F495" s="7">
        <v>140</v>
      </c>
      <c r="G495" s="7">
        <v>145</v>
      </c>
      <c r="H495" s="7">
        <v>150</v>
      </c>
      <c r="I495" s="7">
        <v>155</v>
      </c>
      <c r="J495" s="7">
        <v>160</v>
      </c>
      <c r="K495" s="7">
        <v>165</v>
      </c>
      <c r="L495" s="7">
        <v>170</v>
      </c>
      <c r="M495" s="7">
        <v>175</v>
      </c>
      <c r="N495" s="7">
        <v>180</v>
      </c>
      <c r="Q495" s="7" t="s">
        <v>210</v>
      </c>
    </row>
    <row r="496" spans="1:17" s="7" customFormat="1">
      <c r="A496" s="7" t="s">
        <v>220</v>
      </c>
      <c r="B496" s="7">
        <v>120</v>
      </c>
      <c r="C496" s="7">
        <v>125</v>
      </c>
      <c r="D496" s="7">
        <v>130</v>
      </c>
      <c r="E496" s="7">
        <v>135</v>
      </c>
      <c r="F496" s="7">
        <v>140</v>
      </c>
      <c r="G496" s="7">
        <v>145</v>
      </c>
      <c r="H496" s="7">
        <v>150</v>
      </c>
      <c r="I496" s="7">
        <v>155</v>
      </c>
      <c r="J496" s="7">
        <v>160</v>
      </c>
      <c r="K496" s="7">
        <v>165</v>
      </c>
      <c r="L496" s="7">
        <v>170</v>
      </c>
      <c r="M496" s="7">
        <v>175</v>
      </c>
      <c r="N496" s="7">
        <v>180</v>
      </c>
      <c r="Q496" s="7" t="s">
        <v>210</v>
      </c>
    </row>
    <row r="497" spans="1:17" s="7" customFormat="1" ht="15">
      <c r="A497" s="164" t="s">
        <v>223</v>
      </c>
      <c r="B497" s="7">
        <v>120</v>
      </c>
      <c r="C497" s="7">
        <v>125</v>
      </c>
      <c r="D497" s="7">
        <v>130</v>
      </c>
      <c r="E497" s="7">
        <v>135</v>
      </c>
      <c r="F497" s="7">
        <v>140</v>
      </c>
      <c r="G497" s="7">
        <v>145</v>
      </c>
      <c r="H497" s="7">
        <v>150</v>
      </c>
      <c r="I497" s="7">
        <v>155</v>
      </c>
      <c r="J497" s="7">
        <v>160</v>
      </c>
      <c r="K497" s="7">
        <v>165</v>
      </c>
      <c r="L497" s="7">
        <v>170</v>
      </c>
      <c r="M497" s="7">
        <v>175</v>
      </c>
      <c r="N497" s="7">
        <v>180</v>
      </c>
      <c r="P497" s="190"/>
      <c r="Q497" s="7" t="s">
        <v>210</v>
      </c>
    </row>
    <row r="498" spans="1:17" s="7" customFormat="1" ht="15">
      <c r="A498" s="164" t="s">
        <v>221</v>
      </c>
      <c r="B498" s="7">
        <v>120</v>
      </c>
      <c r="C498" s="7">
        <v>125</v>
      </c>
      <c r="D498" s="7">
        <v>130</v>
      </c>
      <c r="E498" s="7">
        <v>135</v>
      </c>
      <c r="F498" s="7">
        <v>140</v>
      </c>
      <c r="G498" s="7">
        <v>145</v>
      </c>
      <c r="H498" s="7">
        <v>150</v>
      </c>
      <c r="I498" s="7">
        <v>155</v>
      </c>
      <c r="J498" s="7">
        <v>160</v>
      </c>
      <c r="K498" s="7">
        <v>165</v>
      </c>
      <c r="L498" s="7">
        <v>170</v>
      </c>
      <c r="M498" s="7">
        <v>175</v>
      </c>
      <c r="N498" s="7">
        <v>180</v>
      </c>
      <c r="P498" s="190"/>
      <c r="Q498" s="7" t="s">
        <v>210</v>
      </c>
    </row>
    <row r="499" spans="1:17" s="7" customFormat="1" ht="15">
      <c r="A499" s="164" t="s">
        <v>222</v>
      </c>
      <c r="B499" s="7">
        <v>120</v>
      </c>
      <c r="C499" s="7">
        <v>125</v>
      </c>
      <c r="D499" s="7">
        <v>130</v>
      </c>
      <c r="E499" s="7">
        <v>135</v>
      </c>
      <c r="F499" s="7">
        <v>140</v>
      </c>
      <c r="G499" s="7">
        <v>145</v>
      </c>
      <c r="H499" s="7">
        <v>150</v>
      </c>
      <c r="I499" s="7">
        <v>155</v>
      </c>
      <c r="J499" s="7">
        <v>160</v>
      </c>
      <c r="K499" s="7">
        <v>165</v>
      </c>
      <c r="L499" s="7">
        <v>170</v>
      </c>
      <c r="M499" s="7">
        <v>175</v>
      </c>
      <c r="N499" s="7">
        <v>180</v>
      </c>
      <c r="P499" s="190"/>
      <c r="Q499" s="7" t="s">
        <v>210</v>
      </c>
    </row>
    <row r="500" spans="1:17" s="7" customFormat="1" ht="15">
      <c r="A500" s="164" t="s">
        <v>224</v>
      </c>
      <c r="B500" s="7">
        <v>120</v>
      </c>
      <c r="C500" s="7">
        <v>125</v>
      </c>
      <c r="D500" s="7">
        <v>130</v>
      </c>
      <c r="E500" s="7">
        <v>135</v>
      </c>
      <c r="F500" s="7">
        <v>140</v>
      </c>
      <c r="G500" s="7">
        <v>145</v>
      </c>
      <c r="H500" s="7">
        <v>150</v>
      </c>
      <c r="I500" s="7">
        <v>155</v>
      </c>
      <c r="J500" s="7">
        <v>160</v>
      </c>
      <c r="K500" s="7">
        <v>165</v>
      </c>
      <c r="L500" s="7">
        <v>170</v>
      </c>
      <c r="M500" s="7">
        <v>175</v>
      </c>
      <c r="N500" s="7">
        <v>180</v>
      </c>
      <c r="P500" s="190"/>
      <c r="Q500" s="7" t="s">
        <v>210</v>
      </c>
    </row>
    <row r="501" spans="1:17" s="7" customFormat="1" ht="14">
      <c r="A501" s="34"/>
      <c r="E501" s="190"/>
      <c r="I501" s="190"/>
      <c r="M501" s="190"/>
      <c r="P501" s="190"/>
    </row>
    <row r="502" spans="1:17" s="7" customFormat="1" ht="14">
      <c r="A502" s="34"/>
      <c r="E502" s="190"/>
      <c r="I502" s="190"/>
      <c r="M502" s="190"/>
      <c r="P502" s="190"/>
    </row>
    <row r="503" spans="1:17" s="7" customFormat="1" ht="14">
      <c r="A503" s="34"/>
    </row>
    <row r="504" spans="1:17" s="7" customFormat="1" ht="14">
      <c r="A504" s="34"/>
    </row>
    <row r="505" spans="1:17" ht="15">
      <c r="A505" s="164" t="s">
        <v>190</v>
      </c>
      <c r="B505" s="7"/>
      <c r="C505" s="7"/>
      <c r="D505" s="7"/>
      <c r="E505" s="7"/>
      <c r="F505" s="7"/>
      <c r="G505" s="7"/>
      <c r="H505" s="7"/>
      <c r="I505" s="7"/>
      <c r="J505" s="7"/>
      <c r="K505" s="7"/>
      <c r="L505" s="7"/>
      <c r="M505" s="7"/>
      <c r="N505" s="7"/>
      <c r="O505" s="7"/>
      <c r="P505" s="7"/>
    </row>
    <row r="506" spans="1:17" ht="15">
      <c r="A506" s="164" t="s">
        <v>122</v>
      </c>
      <c r="B506" s="7" t="s">
        <v>145</v>
      </c>
      <c r="C506" s="7" t="s">
        <v>146</v>
      </c>
      <c r="D506" s="7" t="s">
        <v>147</v>
      </c>
      <c r="E506" s="164" t="s">
        <v>148</v>
      </c>
      <c r="F506" s="7" t="s">
        <v>149</v>
      </c>
      <c r="G506" s="7" t="s">
        <v>150</v>
      </c>
      <c r="H506" s="7" t="s">
        <v>151</v>
      </c>
      <c r="I506" s="164" t="s">
        <v>152</v>
      </c>
      <c r="J506" s="7" t="s">
        <v>153</v>
      </c>
      <c r="K506" s="7" t="s">
        <v>154</v>
      </c>
      <c r="L506" s="7" t="s">
        <v>155</v>
      </c>
      <c r="M506" s="191" t="s">
        <v>156</v>
      </c>
      <c r="N506" s="192" t="s">
        <v>157</v>
      </c>
      <c r="O506" s="192" t="s">
        <v>158</v>
      </c>
      <c r="P506" s="192" t="s">
        <v>160</v>
      </c>
      <c r="Q506" s="191" t="s">
        <v>144</v>
      </c>
    </row>
    <row r="507" spans="1:17" ht="15">
      <c r="A507" s="164" t="s">
        <v>105</v>
      </c>
      <c r="B507">
        <v>50</v>
      </c>
      <c r="C507">
        <v>55</v>
      </c>
      <c r="D507">
        <v>60</v>
      </c>
      <c r="E507">
        <v>65</v>
      </c>
      <c r="F507">
        <v>70</v>
      </c>
      <c r="G507">
        <v>75</v>
      </c>
      <c r="H507">
        <v>80</v>
      </c>
      <c r="I507">
        <v>85</v>
      </c>
      <c r="J507">
        <v>90</v>
      </c>
      <c r="K507">
        <v>95</v>
      </c>
      <c r="L507">
        <v>100</v>
      </c>
      <c r="M507">
        <v>105</v>
      </c>
      <c r="N507">
        <v>110</v>
      </c>
      <c r="O507">
        <v>115</v>
      </c>
      <c r="P507">
        <v>120</v>
      </c>
      <c r="Q507" s="7" t="s">
        <v>209</v>
      </c>
    </row>
    <row r="508" spans="1:17" ht="15">
      <c r="A508" s="164" t="s">
        <v>84</v>
      </c>
      <c r="B508">
        <v>50</v>
      </c>
      <c r="C508">
        <v>55</v>
      </c>
      <c r="D508">
        <v>60</v>
      </c>
      <c r="E508">
        <v>65</v>
      </c>
      <c r="F508">
        <v>70</v>
      </c>
      <c r="G508">
        <v>75</v>
      </c>
      <c r="H508">
        <v>80</v>
      </c>
      <c r="I508">
        <v>85</v>
      </c>
      <c r="J508">
        <v>90</v>
      </c>
      <c r="K508">
        <v>95</v>
      </c>
      <c r="L508">
        <v>100</v>
      </c>
      <c r="M508">
        <v>105</v>
      </c>
      <c r="N508">
        <v>110</v>
      </c>
      <c r="O508">
        <v>115</v>
      </c>
      <c r="P508">
        <v>120</v>
      </c>
      <c r="Q508" s="7" t="s">
        <v>209</v>
      </c>
    </row>
    <row r="509" spans="1:17" ht="15">
      <c r="A509" s="164" t="s">
        <v>82</v>
      </c>
      <c r="B509">
        <v>50</v>
      </c>
      <c r="C509">
        <v>55</v>
      </c>
      <c r="D509">
        <v>60</v>
      </c>
      <c r="E509">
        <v>65</v>
      </c>
      <c r="F509">
        <v>70</v>
      </c>
      <c r="G509">
        <v>75</v>
      </c>
      <c r="H509">
        <v>80</v>
      </c>
      <c r="I509">
        <v>85</v>
      </c>
      <c r="J509">
        <v>90</v>
      </c>
      <c r="K509">
        <v>95</v>
      </c>
      <c r="L509">
        <v>100</v>
      </c>
      <c r="M509">
        <v>105</v>
      </c>
      <c r="N509">
        <v>110</v>
      </c>
      <c r="O509">
        <v>115</v>
      </c>
      <c r="P509">
        <v>120</v>
      </c>
      <c r="Q509" s="7" t="s">
        <v>209</v>
      </c>
    </row>
    <row r="510" spans="1:17" ht="15">
      <c r="A510" s="164" t="s">
        <v>90</v>
      </c>
      <c r="B510">
        <v>70</v>
      </c>
      <c r="C510">
        <v>75</v>
      </c>
      <c r="D510">
        <v>80</v>
      </c>
      <c r="E510">
        <v>85</v>
      </c>
      <c r="F510" s="7">
        <v>90</v>
      </c>
      <c r="G510" s="7">
        <v>95</v>
      </c>
      <c r="H510" s="7">
        <v>100</v>
      </c>
      <c r="I510" s="7">
        <v>105</v>
      </c>
      <c r="J510" s="7">
        <v>110</v>
      </c>
      <c r="K510" s="7">
        <v>115</v>
      </c>
      <c r="L510" s="7">
        <v>120</v>
      </c>
      <c r="M510" s="7"/>
      <c r="N510" s="7"/>
      <c r="O510" s="7"/>
      <c r="P510" s="7"/>
      <c r="Q510" s="7" t="s">
        <v>211</v>
      </c>
    </row>
    <row r="511" spans="1:17" ht="15">
      <c r="A511" s="164" t="s">
        <v>123</v>
      </c>
      <c r="B511">
        <v>50</v>
      </c>
      <c r="C511">
        <v>55</v>
      </c>
      <c r="D511">
        <v>60</v>
      </c>
      <c r="E511">
        <v>65</v>
      </c>
      <c r="F511">
        <v>70</v>
      </c>
      <c r="G511">
        <v>75</v>
      </c>
      <c r="H511">
        <v>80</v>
      </c>
      <c r="I511">
        <v>85</v>
      </c>
      <c r="J511">
        <v>90</v>
      </c>
      <c r="K511">
        <v>95</v>
      </c>
      <c r="L511">
        <v>100</v>
      </c>
      <c r="M511">
        <v>105</v>
      </c>
      <c r="N511">
        <v>110</v>
      </c>
      <c r="O511">
        <v>115</v>
      </c>
      <c r="P511">
        <v>120</v>
      </c>
      <c r="Q511" s="7" t="s">
        <v>209</v>
      </c>
    </row>
    <row r="512" spans="1:17" ht="15">
      <c r="A512" s="164" t="s">
        <v>124</v>
      </c>
      <c r="B512">
        <v>50</v>
      </c>
      <c r="C512">
        <v>55</v>
      </c>
      <c r="D512">
        <v>60</v>
      </c>
      <c r="E512">
        <v>65</v>
      </c>
      <c r="F512">
        <v>70</v>
      </c>
      <c r="G512">
        <v>75</v>
      </c>
      <c r="H512">
        <v>80</v>
      </c>
      <c r="I512">
        <v>85</v>
      </c>
      <c r="J512">
        <v>90</v>
      </c>
      <c r="K512">
        <v>95</v>
      </c>
      <c r="L512">
        <v>100</v>
      </c>
      <c r="M512">
        <v>105</v>
      </c>
      <c r="N512">
        <v>110</v>
      </c>
      <c r="O512">
        <v>115</v>
      </c>
      <c r="P512">
        <v>120</v>
      </c>
      <c r="Q512" s="7" t="s">
        <v>209</v>
      </c>
    </row>
    <row r="513" spans="1:17" ht="15">
      <c r="A513" s="164" t="s">
        <v>169</v>
      </c>
      <c r="B513">
        <v>70</v>
      </c>
      <c r="C513">
        <v>75</v>
      </c>
      <c r="D513">
        <v>80</v>
      </c>
      <c r="E513">
        <v>85</v>
      </c>
      <c r="F513" s="7">
        <v>90</v>
      </c>
      <c r="G513" s="7">
        <v>95</v>
      </c>
      <c r="H513" s="7">
        <v>100</v>
      </c>
      <c r="I513" s="7">
        <v>105</v>
      </c>
      <c r="J513" s="7">
        <v>110</v>
      </c>
      <c r="K513" s="7">
        <v>115</v>
      </c>
      <c r="L513" s="7">
        <v>120</v>
      </c>
      <c r="M513" s="7"/>
      <c r="N513" s="7"/>
      <c r="O513" s="7"/>
      <c r="P513" s="7"/>
      <c r="Q513" s="7" t="s">
        <v>211</v>
      </c>
    </row>
    <row r="514" spans="1:17" ht="15">
      <c r="A514" s="164" t="s">
        <v>170</v>
      </c>
      <c r="B514">
        <v>70</v>
      </c>
      <c r="C514">
        <v>75</v>
      </c>
      <c r="D514">
        <v>80</v>
      </c>
      <c r="E514">
        <v>85</v>
      </c>
      <c r="F514" s="7">
        <v>90</v>
      </c>
      <c r="G514" s="7">
        <v>95</v>
      </c>
      <c r="H514" s="7">
        <v>100</v>
      </c>
      <c r="I514" s="7">
        <v>105</v>
      </c>
      <c r="J514" s="7">
        <v>110</v>
      </c>
      <c r="K514" s="7">
        <v>115</v>
      </c>
      <c r="L514" s="7">
        <v>120</v>
      </c>
      <c r="M514" s="7"/>
      <c r="N514" s="7"/>
      <c r="O514" s="7"/>
      <c r="P514" s="7"/>
      <c r="Q514" s="7" t="s">
        <v>211</v>
      </c>
    </row>
    <row r="515" spans="1:17" ht="15">
      <c r="A515" s="164" t="s">
        <v>227</v>
      </c>
      <c r="B515">
        <v>50</v>
      </c>
      <c r="C515">
        <v>55</v>
      </c>
      <c r="D515">
        <v>60</v>
      </c>
      <c r="E515">
        <v>65</v>
      </c>
      <c r="F515">
        <v>70</v>
      </c>
      <c r="G515">
        <v>75</v>
      </c>
      <c r="H515">
        <v>80</v>
      </c>
      <c r="I515">
        <v>85</v>
      </c>
      <c r="J515">
        <v>90</v>
      </c>
      <c r="K515">
        <v>95</v>
      </c>
      <c r="L515">
        <v>100</v>
      </c>
      <c r="M515">
        <v>105</v>
      </c>
      <c r="N515">
        <v>110</v>
      </c>
      <c r="O515">
        <v>115</v>
      </c>
      <c r="P515">
        <v>120</v>
      </c>
      <c r="Q515" s="7" t="s">
        <v>209</v>
      </c>
    </row>
    <row r="516" spans="1:17" ht="15">
      <c r="A516" s="164" t="s">
        <v>139</v>
      </c>
      <c r="B516">
        <v>50</v>
      </c>
      <c r="C516">
        <v>55</v>
      </c>
      <c r="D516">
        <v>60</v>
      </c>
      <c r="E516">
        <v>65</v>
      </c>
      <c r="F516">
        <v>70</v>
      </c>
      <c r="G516">
        <v>75</v>
      </c>
      <c r="H516">
        <v>80</v>
      </c>
      <c r="I516">
        <v>85</v>
      </c>
      <c r="J516">
        <v>90</v>
      </c>
      <c r="K516">
        <v>95</v>
      </c>
      <c r="L516">
        <v>100</v>
      </c>
      <c r="M516">
        <v>105</v>
      </c>
      <c r="N516">
        <v>110</v>
      </c>
      <c r="O516">
        <v>115</v>
      </c>
      <c r="P516">
        <v>120</v>
      </c>
      <c r="Q516" s="7" t="s">
        <v>209</v>
      </c>
    </row>
    <row r="517" spans="1:17" ht="15">
      <c r="A517" s="164" t="s">
        <v>226</v>
      </c>
      <c r="B517">
        <v>50</v>
      </c>
      <c r="C517">
        <v>55</v>
      </c>
      <c r="D517">
        <v>60</v>
      </c>
      <c r="E517">
        <v>65</v>
      </c>
      <c r="F517">
        <v>70</v>
      </c>
      <c r="G517">
        <v>75</v>
      </c>
      <c r="H517">
        <v>80</v>
      </c>
      <c r="I517">
        <v>85</v>
      </c>
      <c r="J517">
        <v>90</v>
      </c>
      <c r="K517">
        <v>95</v>
      </c>
      <c r="L517">
        <v>100</v>
      </c>
      <c r="M517">
        <v>105</v>
      </c>
      <c r="N517">
        <v>110</v>
      </c>
      <c r="O517">
        <v>115</v>
      </c>
      <c r="P517">
        <v>120</v>
      </c>
      <c r="Q517" s="7" t="s">
        <v>209</v>
      </c>
    </row>
    <row r="518" spans="1:17" ht="15">
      <c r="A518" s="164" t="s">
        <v>85</v>
      </c>
      <c r="B518">
        <v>50</v>
      </c>
      <c r="C518">
        <v>55</v>
      </c>
      <c r="D518">
        <v>60</v>
      </c>
      <c r="E518">
        <v>65</v>
      </c>
      <c r="F518">
        <v>70</v>
      </c>
      <c r="G518">
        <v>75</v>
      </c>
      <c r="H518">
        <v>80</v>
      </c>
      <c r="I518">
        <v>85</v>
      </c>
      <c r="J518">
        <v>90</v>
      </c>
      <c r="K518">
        <v>95</v>
      </c>
      <c r="L518">
        <v>100</v>
      </c>
      <c r="M518">
        <v>105</v>
      </c>
      <c r="N518">
        <v>110</v>
      </c>
      <c r="O518">
        <v>115</v>
      </c>
      <c r="P518">
        <v>120</v>
      </c>
      <c r="Q518" s="7" t="s">
        <v>209</v>
      </c>
    </row>
    <row r="519" spans="1:17" ht="15">
      <c r="A519" s="164" t="s">
        <v>94</v>
      </c>
      <c r="B519">
        <v>50</v>
      </c>
      <c r="C519">
        <v>55</v>
      </c>
      <c r="D519">
        <v>60</v>
      </c>
      <c r="E519">
        <v>65</v>
      </c>
      <c r="F519">
        <v>70</v>
      </c>
      <c r="G519">
        <v>75</v>
      </c>
      <c r="H519">
        <v>80</v>
      </c>
      <c r="I519">
        <v>85</v>
      </c>
      <c r="J519">
        <v>90</v>
      </c>
      <c r="K519">
        <v>95</v>
      </c>
      <c r="L519">
        <v>100</v>
      </c>
      <c r="M519">
        <v>105</v>
      </c>
      <c r="N519">
        <v>110</v>
      </c>
      <c r="O519">
        <v>115</v>
      </c>
      <c r="P519">
        <v>120</v>
      </c>
      <c r="Q519" s="7" t="s">
        <v>209</v>
      </c>
    </row>
    <row r="520" spans="1:17" ht="15">
      <c r="A520" s="164" t="s">
        <v>223</v>
      </c>
      <c r="B520">
        <v>70</v>
      </c>
      <c r="C520">
        <v>75</v>
      </c>
      <c r="D520">
        <v>80</v>
      </c>
      <c r="E520">
        <v>85</v>
      </c>
      <c r="F520" s="7">
        <v>90</v>
      </c>
      <c r="G520" s="7">
        <v>95</v>
      </c>
      <c r="H520" s="7">
        <v>100</v>
      </c>
      <c r="I520" s="7">
        <v>105</v>
      </c>
      <c r="J520" s="7">
        <v>110</v>
      </c>
      <c r="K520" s="7">
        <v>115</v>
      </c>
      <c r="L520" s="7">
        <v>120</v>
      </c>
      <c r="M520" s="7"/>
      <c r="N520" s="7"/>
      <c r="O520" s="7"/>
      <c r="P520" s="7"/>
      <c r="Q520" s="7" t="s">
        <v>211</v>
      </c>
    </row>
    <row r="521" spans="1:17" ht="15">
      <c r="A521" s="164" t="s">
        <v>220</v>
      </c>
      <c r="B521">
        <v>70</v>
      </c>
      <c r="C521">
        <v>75</v>
      </c>
      <c r="D521">
        <v>80</v>
      </c>
      <c r="E521">
        <v>85</v>
      </c>
      <c r="F521" s="7">
        <v>90</v>
      </c>
      <c r="G521" s="7">
        <v>95</v>
      </c>
      <c r="H521" s="7">
        <v>100</v>
      </c>
      <c r="I521" s="7">
        <v>105</v>
      </c>
      <c r="J521" s="7">
        <v>110</v>
      </c>
      <c r="K521" s="7">
        <v>115</v>
      </c>
      <c r="L521" s="7">
        <v>120</v>
      </c>
      <c r="M521" s="7"/>
      <c r="N521" s="7"/>
      <c r="O521" s="7"/>
      <c r="P521" s="7"/>
      <c r="Q521" s="7" t="s">
        <v>211</v>
      </c>
    </row>
    <row r="522" spans="1:17" ht="15">
      <c r="A522" s="164" t="s">
        <v>171</v>
      </c>
      <c r="B522">
        <v>50</v>
      </c>
      <c r="C522">
        <v>55</v>
      </c>
      <c r="D522">
        <v>60</v>
      </c>
      <c r="E522">
        <v>65</v>
      </c>
      <c r="F522">
        <v>70</v>
      </c>
      <c r="G522">
        <v>75</v>
      </c>
      <c r="H522">
        <v>80</v>
      </c>
      <c r="I522">
        <v>85</v>
      </c>
      <c r="J522">
        <v>90</v>
      </c>
      <c r="K522">
        <v>95</v>
      </c>
      <c r="L522">
        <v>100</v>
      </c>
      <c r="M522">
        <v>105</v>
      </c>
      <c r="N522">
        <v>110</v>
      </c>
      <c r="O522">
        <v>115</v>
      </c>
      <c r="P522">
        <v>120</v>
      </c>
      <c r="Q522" s="7" t="s">
        <v>209</v>
      </c>
    </row>
    <row r="523" spans="1:17">
      <c r="A523" s="7" t="s">
        <v>221</v>
      </c>
      <c r="B523">
        <v>70</v>
      </c>
      <c r="C523">
        <v>75</v>
      </c>
      <c r="D523">
        <v>80</v>
      </c>
      <c r="E523">
        <v>85</v>
      </c>
      <c r="F523" s="7">
        <v>90</v>
      </c>
      <c r="G523" s="7">
        <v>95</v>
      </c>
      <c r="H523" s="7">
        <v>100</v>
      </c>
      <c r="I523" s="7">
        <v>105</v>
      </c>
      <c r="J523" s="7">
        <v>110</v>
      </c>
      <c r="K523" s="7">
        <v>115</v>
      </c>
      <c r="L523" s="7">
        <v>120</v>
      </c>
      <c r="M523" s="7"/>
      <c r="N523" s="7"/>
      <c r="O523" s="7"/>
      <c r="P523" s="7"/>
      <c r="Q523" s="7" t="s">
        <v>211</v>
      </c>
    </row>
    <row r="524" spans="1:17" ht="15">
      <c r="A524" s="164" t="s">
        <v>231</v>
      </c>
      <c r="B524">
        <v>70</v>
      </c>
      <c r="C524">
        <v>75</v>
      </c>
      <c r="D524">
        <v>80</v>
      </c>
      <c r="E524">
        <v>85</v>
      </c>
      <c r="F524" s="7">
        <v>90</v>
      </c>
      <c r="G524" s="7">
        <v>95</v>
      </c>
      <c r="H524" s="7">
        <v>100</v>
      </c>
      <c r="I524" s="7">
        <v>105</v>
      </c>
      <c r="J524" s="7">
        <v>110</v>
      </c>
      <c r="K524" s="7">
        <v>115</v>
      </c>
      <c r="L524" s="7">
        <v>120</v>
      </c>
      <c r="M524" s="7"/>
      <c r="N524" s="7"/>
      <c r="O524" s="7"/>
      <c r="P524" s="7"/>
      <c r="Q524" s="7" t="s">
        <v>211</v>
      </c>
    </row>
    <row r="525" spans="1:17" ht="15">
      <c r="A525" s="164" t="s">
        <v>232</v>
      </c>
      <c r="B525">
        <v>70</v>
      </c>
      <c r="C525">
        <v>75</v>
      </c>
      <c r="D525">
        <v>80</v>
      </c>
      <c r="E525">
        <v>85</v>
      </c>
      <c r="F525" s="7">
        <v>90</v>
      </c>
      <c r="G525" s="7">
        <v>95</v>
      </c>
      <c r="H525" s="7">
        <v>100</v>
      </c>
      <c r="I525" s="7">
        <v>105</v>
      </c>
      <c r="J525" s="7">
        <v>110</v>
      </c>
      <c r="K525" s="7">
        <v>115</v>
      </c>
      <c r="L525" s="7">
        <v>120</v>
      </c>
      <c r="M525" s="7"/>
      <c r="N525" s="7"/>
      <c r="O525" s="7"/>
      <c r="P525" s="7"/>
      <c r="Q525" s="7" t="s">
        <v>211</v>
      </c>
    </row>
    <row r="526" spans="1:17" ht="14">
      <c r="A526" s="34"/>
      <c r="B526" s="7"/>
      <c r="C526" s="7"/>
      <c r="D526" s="7"/>
      <c r="E526" s="190"/>
      <c r="F526" s="7"/>
      <c r="G526" s="7"/>
      <c r="H526" s="7"/>
      <c r="I526" s="190"/>
      <c r="J526" s="7"/>
      <c r="K526" s="7"/>
      <c r="L526" s="7"/>
      <c r="M526" s="190"/>
      <c r="N526" s="7"/>
      <c r="O526" s="7"/>
      <c r="P526" s="7"/>
      <c r="Q526" s="190"/>
    </row>
    <row r="527" spans="1:17" ht="14">
      <c r="A527" s="34"/>
      <c r="B527" s="7"/>
      <c r="C527" s="7"/>
      <c r="D527" s="7"/>
      <c r="E527" s="190"/>
      <c r="F527" s="7"/>
      <c r="G527" s="7"/>
      <c r="H527" s="7"/>
      <c r="I527" s="190"/>
      <c r="J527" s="7"/>
      <c r="K527" s="7"/>
      <c r="L527" s="7"/>
      <c r="M527" s="190"/>
      <c r="N527" s="7"/>
      <c r="O527" s="7"/>
      <c r="P527" s="7"/>
      <c r="Q527" s="190"/>
    </row>
    <row r="528" spans="1:17" ht="14">
      <c r="A528" s="34"/>
      <c r="B528" s="7"/>
      <c r="C528" s="7"/>
      <c r="D528" s="7"/>
      <c r="E528" s="190"/>
      <c r="F528" s="7"/>
      <c r="G528" s="7"/>
      <c r="H528" s="7"/>
      <c r="I528" s="190"/>
      <c r="J528" s="7"/>
      <c r="K528" s="7"/>
      <c r="L528" s="7"/>
      <c r="M528" s="190"/>
      <c r="N528" s="7"/>
      <c r="O528" s="7"/>
      <c r="P528" s="7"/>
      <c r="Q528" s="190"/>
    </row>
    <row r="529" spans="1:17" ht="14">
      <c r="A529" s="34"/>
      <c r="B529" s="7"/>
      <c r="C529" s="7"/>
      <c r="D529" s="7"/>
      <c r="E529" s="190"/>
      <c r="F529" s="7"/>
      <c r="G529" s="7"/>
      <c r="H529" s="7"/>
      <c r="I529" s="190"/>
      <c r="J529" s="7"/>
      <c r="K529" s="7"/>
      <c r="L529" s="7"/>
      <c r="M529" s="190"/>
      <c r="N529" s="7"/>
      <c r="O529" s="7"/>
      <c r="P529" s="7"/>
      <c r="Q529" s="190"/>
    </row>
    <row r="530" spans="1:17" ht="14">
      <c r="A530" s="34"/>
      <c r="B530" s="7"/>
      <c r="C530" s="7"/>
      <c r="D530" s="7"/>
      <c r="E530" s="190"/>
      <c r="F530" s="7"/>
      <c r="G530" s="7"/>
      <c r="H530" s="7"/>
      <c r="I530" s="190"/>
      <c r="J530" s="7"/>
      <c r="K530" s="7"/>
      <c r="L530" s="7"/>
      <c r="M530" s="190"/>
      <c r="N530" s="7"/>
      <c r="O530" s="7"/>
      <c r="P530" s="7"/>
      <c r="Q530" s="190"/>
    </row>
    <row r="531" spans="1:17" ht="14">
      <c r="A531" s="34"/>
      <c r="B531" s="7"/>
      <c r="C531" s="7"/>
      <c r="D531" s="7"/>
      <c r="E531" s="190"/>
      <c r="F531" s="7"/>
      <c r="G531" s="7"/>
      <c r="H531" s="7"/>
      <c r="I531" s="190"/>
      <c r="J531" s="7"/>
      <c r="K531" s="7"/>
      <c r="L531" s="7"/>
      <c r="M531" s="190"/>
      <c r="N531" s="7"/>
      <c r="O531" s="7"/>
      <c r="P531" s="7"/>
      <c r="Q531" s="190"/>
    </row>
    <row r="532" spans="1:17" ht="14">
      <c r="A532" s="34"/>
      <c r="B532" s="7"/>
      <c r="C532" s="7"/>
      <c r="D532" s="7"/>
      <c r="E532" s="190"/>
      <c r="F532" s="7"/>
      <c r="G532" s="7"/>
      <c r="H532" s="7"/>
      <c r="I532" s="190"/>
      <c r="J532" s="7"/>
      <c r="K532" s="7"/>
      <c r="L532" s="7"/>
      <c r="M532" s="190"/>
      <c r="N532" s="7"/>
      <c r="O532" s="7"/>
      <c r="P532" s="7"/>
      <c r="Q532" s="190"/>
    </row>
    <row r="533" spans="1:17" ht="14">
      <c r="A533" s="34"/>
      <c r="B533" s="7"/>
      <c r="C533" s="7"/>
      <c r="D533" s="7"/>
      <c r="E533" s="7"/>
      <c r="F533" s="7"/>
      <c r="G533" s="7"/>
      <c r="H533" s="7"/>
      <c r="I533" s="7"/>
      <c r="J533" s="7"/>
      <c r="K533" s="7"/>
      <c r="L533" s="7"/>
      <c r="M533" s="7"/>
      <c r="N533" s="7"/>
      <c r="O533" s="7"/>
      <c r="P533" s="7"/>
    </row>
    <row r="535" spans="1:17">
      <c r="A535" s="7" t="s">
        <v>188</v>
      </c>
    </row>
    <row r="536" spans="1:17">
      <c r="A536" t="s">
        <v>122</v>
      </c>
      <c r="B536" s="7" t="s">
        <v>145</v>
      </c>
      <c r="C536" s="7" t="s">
        <v>146</v>
      </c>
      <c r="D536" s="7" t="s">
        <v>147</v>
      </c>
      <c r="E536" s="7" t="s">
        <v>148</v>
      </c>
      <c r="F536" s="7" t="s">
        <v>149</v>
      </c>
      <c r="G536" s="7" t="s">
        <v>150</v>
      </c>
      <c r="H536" s="7" t="s">
        <v>151</v>
      </c>
      <c r="I536" s="7" t="s">
        <v>152</v>
      </c>
      <c r="J536" s="7" t="s">
        <v>153</v>
      </c>
      <c r="K536" s="7" t="s">
        <v>154</v>
      </c>
      <c r="L536" s="7" t="s">
        <v>155</v>
      </c>
      <c r="M536" s="7" t="s">
        <v>156</v>
      </c>
      <c r="N536" s="7" t="s">
        <v>157</v>
      </c>
      <c r="O536" s="7" t="s">
        <v>144</v>
      </c>
    </row>
    <row r="537" spans="1:17">
      <c r="A537" t="s">
        <v>105</v>
      </c>
      <c r="B537">
        <v>30</v>
      </c>
      <c r="C537">
        <v>35</v>
      </c>
      <c r="D537" s="7">
        <v>40</v>
      </c>
      <c r="E537">
        <v>45</v>
      </c>
      <c r="F537">
        <v>50</v>
      </c>
      <c r="G537">
        <v>55</v>
      </c>
      <c r="H537" s="7">
        <v>60</v>
      </c>
      <c r="I537">
        <v>65</v>
      </c>
      <c r="J537">
        <v>70</v>
      </c>
      <c r="K537">
        <v>75</v>
      </c>
      <c r="L537">
        <v>80</v>
      </c>
      <c r="M537">
        <v>85</v>
      </c>
      <c r="N537">
        <v>90</v>
      </c>
      <c r="O537" s="7" t="s">
        <v>61</v>
      </c>
    </row>
    <row r="538" spans="1:17">
      <c r="A538" t="s">
        <v>84</v>
      </c>
      <c r="B538">
        <v>30</v>
      </c>
      <c r="C538">
        <v>35</v>
      </c>
      <c r="D538" s="7">
        <v>40</v>
      </c>
      <c r="E538">
        <v>45</v>
      </c>
      <c r="F538">
        <v>50</v>
      </c>
      <c r="G538">
        <v>55</v>
      </c>
      <c r="H538" s="7">
        <v>60</v>
      </c>
      <c r="I538">
        <v>65</v>
      </c>
      <c r="J538">
        <v>70</v>
      </c>
      <c r="K538">
        <v>75</v>
      </c>
      <c r="L538">
        <v>80</v>
      </c>
      <c r="M538">
        <v>85</v>
      </c>
      <c r="N538">
        <v>90</v>
      </c>
      <c r="O538" s="7" t="s">
        <v>61</v>
      </c>
    </row>
    <row r="539" spans="1:17">
      <c r="A539" t="s">
        <v>82</v>
      </c>
      <c r="B539">
        <v>30</v>
      </c>
      <c r="C539">
        <v>35</v>
      </c>
      <c r="D539" s="7">
        <v>40</v>
      </c>
      <c r="E539">
        <v>45</v>
      </c>
      <c r="F539">
        <v>50</v>
      </c>
      <c r="G539">
        <v>55</v>
      </c>
      <c r="H539" s="7">
        <v>60</v>
      </c>
      <c r="I539">
        <v>65</v>
      </c>
      <c r="J539">
        <v>70</v>
      </c>
      <c r="K539">
        <v>75</v>
      </c>
      <c r="L539">
        <v>80</v>
      </c>
      <c r="M539">
        <v>85</v>
      </c>
      <c r="N539">
        <v>90</v>
      </c>
      <c r="O539" s="7" t="s">
        <v>61</v>
      </c>
    </row>
    <row r="540" spans="1:17">
      <c r="A540" t="s">
        <v>83</v>
      </c>
      <c r="B540">
        <v>30</v>
      </c>
      <c r="C540">
        <v>35</v>
      </c>
      <c r="D540" s="7">
        <v>40</v>
      </c>
      <c r="E540">
        <v>45</v>
      </c>
      <c r="F540">
        <v>50</v>
      </c>
      <c r="G540">
        <v>55</v>
      </c>
      <c r="H540" s="7">
        <v>60</v>
      </c>
      <c r="I540">
        <v>65</v>
      </c>
      <c r="J540">
        <v>70</v>
      </c>
      <c r="K540">
        <v>75</v>
      </c>
      <c r="L540">
        <v>80</v>
      </c>
      <c r="M540">
        <v>85</v>
      </c>
      <c r="N540">
        <v>90</v>
      </c>
      <c r="O540" s="7" t="s">
        <v>61</v>
      </c>
    </row>
    <row r="541" spans="1:17">
      <c r="A541" t="s">
        <v>85</v>
      </c>
      <c r="B541">
        <v>30</v>
      </c>
      <c r="C541">
        <v>35</v>
      </c>
      <c r="D541" s="7">
        <v>40</v>
      </c>
      <c r="E541">
        <v>45</v>
      </c>
      <c r="F541">
        <v>50</v>
      </c>
      <c r="G541">
        <v>55</v>
      </c>
      <c r="H541" s="7">
        <v>60</v>
      </c>
      <c r="I541">
        <v>65</v>
      </c>
      <c r="J541">
        <v>70</v>
      </c>
      <c r="K541">
        <v>75</v>
      </c>
      <c r="L541">
        <v>80</v>
      </c>
      <c r="M541">
        <v>85</v>
      </c>
      <c r="N541">
        <v>90</v>
      </c>
      <c r="O541" s="7" t="s">
        <v>61</v>
      </c>
    </row>
    <row r="542" spans="1:17">
      <c r="A542" t="s">
        <v>94</v>
      </c>
      <c r="B542">
        <v>30</v>
      </c>
      <c r="C542">
        <v>35</v>
      </c>
      <c r="D542" s="7">
        <v>40</v>
      </c>
      <c r="E542">
        <v>45</v>
      </c>
      <c r="F542">
        <v>50</v>
      </c>
      <c r="G542">
        <v>55</v>
      </c>
      <c r="H542" s="7">
        <v>60</v>
      </c>
      <c r="I542">
        <v>65</v>
      </c>
      <c r="J542">
        <v>70</v>
      </c>
      <c r="K542">
        <v>75</v>
      </c>
      <c r="L542">
        <v>80</v>
      </c>
      <c r="M542">
        <v>85</v>
      </c>
      <c r="N542">
        <v>90</v>
      </c>
      <c r="O542" s="7" t="s">
        <v>61</v>
      </c>
    </row>
    <row r="543" spans="1:17">
      <c r="A543" t="s">
        <v>123</v>
      </c>
      <c r="B543">
        <v>30</v>
      </c>
      <c r="C543">
        <v>35</v>
      </c>
      <c r="D543" s="7">
        <v>40</v>
      </c>
      <c r="E543">
        <v>45</v>
      </c>
      <c r="F543">
        <v>50</v>
      </c>
      <c r="G543">
        <v>55</v>
      </c>
      <c r="H543" s="7">
        <v>60</v>
      </c>
      <c r="I543">
        <v>65</v>
      </c>
      <c r="J543">
        <v>70</v>
      </c>
      <c r="K543">
        <v>75</v>
      </c>
      <c r="L543">
        <v>80</v>
      </c>
      <c r="M543">
        <v>85</v>
      </c>
      <c r="N543">
        <v>90</v>
      </c>
      <c r="O543" s="7" t="s">
        <v>61</v>
      </c>
    </row>
    <row r="544" spans="1:17">
      <c r="A544" t="s">
        <v>124</v>
      </c>
      <c r="B544">
        <v>30</v>
      </c>
      <c r="C544">
        <v>35</v>
      </c>
      <c r="D544" s="7">
        <v>40</v>
      </c>
      <c r="E544">
        <v>45</v>
      </c>
      <c r="F544">
        <v>50</v>
      </c>
      <c r="G544">
        <v>55</v>
      </c>
      <c r="H544" s="7">
        <v>60</v>
      </c>
      <c r="I544">
        <v>65</v>
      </c>
      <c r="J544">
        <v>70</v>
      </c>
      <c r="K544">
        <v>75</v>
      </c>
      <c r="L544">
        <v>80</v>
      </c>
      <c r="M544">
        <v>85</v>
      </c>
      <c r="N544">
        <v>90</v>
      </c>
      <c r="O544" s="7" t="s">
        <v>61</v>
      </c>
    </row>
    <row r="545" spans="1:15">
      <c r="A545" t="s">
        <v>227</v>
      </c>
      <c r="B545">
        <v>30</v>
      </c>
      <c r="C545">
        <v>35</v>
      </c>
      <c r="D545" s="7">
        <v>40</v>
      </c>
      <c r="E545">
        <v>45</v>
      </c>
      <c r="F545">
        <v>50</v>
      </c>
      <c r="G545">
        <v>55</v>
      </c>
      <c r="H545" s="7">
        <v>60</v>
      </c>
      <c r="I545">
        <v>65</v>
      </c>
      <c r="J545">
        <v>70</v>
      </c>
      <c r="K545">
        <v>75</v>
      </c>
      <c r="L545">
        <v>80</v>
      </c>
      <c r="M545">
        <v>85</v>
      </c>
      <c r="N545">
        <v>90</v>
      </c>
      <c r="O545" s="7" t="s">
        <v>61</v>
      </c>
    </row>
    <row r="546" spans="1:15">
      <c r="A546" t="s">
        <v>90</v>
      </c>
      <c r="B546">
        <v>30</v>
      </c>
      <c r="C546">
        <v>35</v>
      </c>
      <c r="D546" s="7">
        <v>40</v>
      </c>
      <c r="E546">
        <v>45</v>
      </c>
      <c r="F546">
        <v>50</v>
      </c>
      <c r="G546">
        <v>55</v>
      </c>
      <c r="H546" s="7">
        <v>60</v>
      </c>
      <c r="I546">
        <v>65</v>
      </c>
      <c r="J546">
        <v>70</v>
      </c>
      <c r="K546">
        <v>75</v>
      </c>
      <c r="L546">
        <v>80</v>
      </c>
      <c r="M546">
        <v>85</v>
      </c>
      <c r="N546">
        <v>90</v>
      </c>
      <c r="O546" s="7" t="s">
        <v>61</v>
      </c>
    </row>
    <row r="547" spans="1:15">
      <c r="A547" s="7" t="s">
        <v>169</v>
      </c>
      <c r="B547">
        <v>30</v>
      </c>
      <c r="C547">
        <v>35</v>
      </c>
      <c r="D547" s="7">
        <v>40</v>
      </c>
      <c r="E547">
        <v>45</v>
      </c>
      <c r="F547">
        <v>50</v>
      </c>
      <c r="G547">
        <v>55</v>
      </c>
      <c r="H547" s="7">
        <v>60</v>
      </c>
      <c r="I547">
        <v>65</v>
      </c>
      <c r="J547">
        <v>70</v>
      </c>
      <c r="K547">
        <v>75</v>
      </c>
      <c r="L547">
        <v>80</v>
      </c>
      <c r="M547">
        <v>85</v>
      </c>
      <c r="N547">
        <v>90</v>
      </c>
      <c r="O547" s="7" t="s">
        <v>61</v>
      </c>
    </row>
    <row r="548" spans="1:15">
      <c r="A548" t="s">
        <v>139</v>
      </c>
      <c r="B548">
        <v>30</v>
      </c>
      <c r="C548">
        <v>35</v>
      </c>
      <c r="D548" s="7">
        <v>40</v>
      </c>
      <c r="E548">
        <v>45</v>
      </c>
      <c r="F548">
        <v>50</v>
      </c>
      <c r="G548">
        <v>55</v>
      </c>
      <c r="H548" s="7">
        <v>60</v>
      </c>
      <c r="I548">
        <v>65</v>
      </c>
      <c r="J548">
        <v>70</v>
      </c>
      <c r="K548">
        <v>75</v>
      </c>
      <c r="L548">
        <v>80</v>
      </c>
      <c r="M548">
        <v>85</v>
      </c>
      <c r="N548">
        <v>90</v>
      </c>
      <c r="O548" s="7" t="s">
        <v>61</v>
      </c>
    </row>
    <row r="549" spans="1:15">
      <c r="A549" t="s">
        <v>142</v>
      </c>
      <c r="B549">
        <v>30</v>
      </c>
      <c r="C549">
        <v>35</v>
      </c>
      <c r="D549" s="7">
        <v>40</v>
      </c>
      <c r="E549">
        <v>45</v>
      </c>
      <c r="F549">
        <v>50</v>
      </c>
      <c r="G549">
        <v>55</v>
      </c>
      <c r="H549" s="7">
        <v>60</v>
      </c>
      <c r="I549">
        <v>65</v>
      </c>
      <c r="J549">
        <v>70</v>
      </c>
      <c r="K549">
        <v>75</v>
      </c>
      <c r="L549">
        <v>80</v>
      </c>
      <c r="M549">
        <v>85</v>
      </c>
      <c r="N549">
        <v>90</v>
      </c>
      <c r="O549" s="7" t="s">
        <v>61</v>
      </c>
    </row>
    <row r="550" spans="1:15">
      <c r="A550" t="s">
        <v>134</v>
      </c>
      <c r="B550">
        <v>30</v>
      </c>
      <c r="C550">
        <v>35</v>
      </c>
      <c r="D550" s="7">
        <v>40</v>
      </c>
      <c r="E550">
        <v>45</v>
      </c>
      <c r="F550">
        <v>50</v>
      </c>
      <c r="G550">
        <v>55</v>
      </c>
      <c r="H550" s="7">
        <v>60</v>
      </c>
      <c r="I550">
        <v>65</v>
      </c>
      <c r="J550">
        <v>70</v>
      </c>
      <c r="K550">
        <v>75</v>
      </c>
      <c r="L550">
        <v>80</v>
      </c>
      <c r="M550">
        <v>85</v>
      </c>
      <c r="N550">
        <v>90</v>
      </c>
      <c r="O550" s="7" t="s">
        <v>61</v>
      </c>
    </row>
    <row r="551" spans="1:15">
      <c r="A551" t="s">
        <v>135</v>
      </c>
      <c r="B551">
        <v>30</v>
      </c>
      <c r="C551">
        <v>35</v>
      </c>
      <c r="D551" s="7">
        <v>40</v>
      </c>
      <c r="E551">
        <v>45</v>
      </c>
      <c r="F551">
        <v>50</v>
      </c>
      <c r="G551">
        <v>55</v>
      </c>
      <c r="H551" s="7">
        <v>60</v>
      </c>
      <c r="I551">
        <v>65</v>
      </c>
      <c r="J551">
        <v>70</v>
      </c>
      <c r="K551">
        <v>75</v>
      </c>
      <c r="L551">
        <v>80</v>
      </c>
      <c r="M551">
        <v>85</v>
      </c>
      <c r="N551">
        <v>90</v>
      </c>
      <c r="O551" s="7" t="s">
        <v>61</v>
      </c>
    </row>
    <row r="552" spans="1:15">
      <c r="A552" s="7" t="s">
        <v>215</v>
      </c>
      <c r="B552">
        <v>30</v>
      </c>
      <c r="C552">
        <v>35</v>
      </c>
      <c r="D552" s="7">
        <v>40</v>
      </c>
      <c r="E552">
        <v>45</v>
      </c>
      <c r="F552">
        <v>50</v>
      </c>
      <c r="G552">
        <v>55</v>
      </c>
      <c r="H552" s="7">
        <v>60</v>
      </c>
      <c r="I552">
        <v>65</v>
      </c>
      <c r="J552">
        <v>70</v>
      </c>
      <c r="K552">
        <v>75</v>
      </c>
      <c r="L552">
        <v>80</v>
      </c>
      <c r="M552">
        <v>85</v>
      </c>
      <c r="N552">
        <v>90</v>
      </c>
      <c r="O552" s="7" t="s">
        <v>61</v>
      </c>
    </row>
    <row r="553" spans="1:15">
      <c r="A553" s="7" t="s">
        <v>214</v>
      </c>
      <c r="B553">
        <v>30</v>
      </c>
      <c r="C553">
        <v>35</v>
      </c>
      <c r="D553" s="7">
        <v>40</v>
      </c>
      <c r="E553">
        <v>45</v>
      </c>
      <c r="F553">
        <v>50</v>
      </c>
      <c r="G553">
        <v>55</v>
      </c>
      <c r="H553" s="7">
        <v>60</v>
      </c>
      <c r="I553">
        <v>65</v>
      </c>
      <c r="J553">
        <v>70</v>
      </c>
      <c r="K553">
        <v>75</v>
      </c>
      <c r="L553">
        <v>80</v>
      </c>
      <c r="M553">
        <v>85</v>
      </c>
      <c r="N553">
        <v>90</v>
      </c>
      <c r="O553" s="7" t="s">
        <v>61</v>
      </c>
    </row>
    <row r="554" spans="1:15">
      <c r="A554" s="7" t="s">
        <v>218</v>
      </c>
      <c r="B554">
        <v>30</v>
      </c>
      <c r="C554">
        <v>35</v>
      </c>
      <c r="D554" s="7">
        <v>40</v>
      </c>
      <c r="E554">
        <v>45</v>
      </c>
      <c r="F554">
        <v>50</v>
      </c>
      <c r="G554">
        <v>55</v>
      </c>
      <c r="H554" s="7">
        <v>60</v>
      </c>
      <c r="I554">
        <v>65</v>
      </c>
      <c r="J554">
        <v>70</v>
      </c>
      <c r="K554">
        <v>75</v>
      </c>
      <c r="L554">
        <v>80</v>
      </c>
      <c r="M554">
        <v>85</v>
      </c>
      <c r="N554">
        <v>90</v>
      </c>
      <c r="O554" s="7" t="s">
        <v>61</v>
      </c>
    </row>
    <row r="555" spans="1:15">
      <c r="A555" s="7" t="s">
        <v>220</v>
      </c>
      <c r="B555">
        <v>30</v>
      </c>
      <c r="C555">
        <v>35</v>
      </c>
      <c r="D555" s="7">
        <v>40</v>
      </c>
      <c r="E555">
        <v>45</v>
      </c>
      <c r="F555">
        <v>50</v>
      </c>
      <c r="G555">
        <v>55</v>
      </c>
      <c r="H555" s="7">
        <v>60</v>
      </c>
      <c r="I555">
        <v>65</v>
      </c>
      <c r="J555">
        <v>70</v>
      </c>
      <c r="K555">
        <v>75</v>
      </c>
      <c r="L555">
        <v>80</v>
      </c>
      <c r="M555">
        <v>85</v>
      </c>
      <c r="N555">
        <v>90</v>
      </c>
      <c r="O555" s="7" t="s">
        <v>61</v>
      </c>
    </row>
    <row r="556" spans="1:15">
      <c r="A556" t="s">
        <v>223</v>
      </c>
      <c r="B556">
        <v>30</v>
      </c>
      <c r="C556">
        <v>35</v>
      </c>
      <c r="D556" s="7">
        <v>40</v>
      </c>
      <c r="E556">
        <v>45</v>
      </c>
      <c r="F556">
        <v>50</v>
      </c>
      <c r="G556">
        <v>55</v>
      </c>
      <c r="H556" s="7">
        <v>60</v>
      </c>
      <c r="I556">
        <v>65</v>
      </c>
      <c r="J556">
        <v>70</v>
      </c>
      <c r="K556">
        <v>75</v>
      </c>
      <c r="L556">
        <v>80</v>
      </c>
      <c r="M556">
        <v>85</v>
      </c>
      <c r="N556">
        <v>90</v>
      </c>
      <c r="O556" s="7" t="s">
        <v>61</v>
      </c>
    </row>
    <row r="557" spans="1:15">
      <c r="A557" t="s">
        <v>221</v>
      </c>
      <c r="B557">
        <v>30</v>
      </c>
      <c r="C557">
        <v>35</v>
      </c>
      <c r="D557" s="7">
        <v>40</v>
      </c>
      <c r="E557">
        <v>45</v>
      </c>
      <c r="F557">
        <v>50</v>
      </c>
      <c r="G557">
        <v>55</v>
      </c>
      <c r="H557" s="7">
        <v>60</v>
      </c>
      <c r="I557">
        <v>65</v>
      </c>
      <c r="J557">
        <v>70</v>
      </c>
      <c r="K557">
        <v>75</v>
      </c>
      <c r="L557">
        <v>80</v>
      </c>
      <c r="M557">
        <v>85</v>
      </c>
      <c r="N557">
        <v>90</v>
      </c>
      <c r="O557" s="7" t="s">
        <v>61</v>
      </c>
    </row>
    <row r="558" spans="1:15">
      <c r="A558" t="s">
        <v>222</v>
      </c>
      <c r="B558">
        <v>30</v>
      </c>
      <c r="C558">
        <v>35</v>
      </c>
      <c r="D558" s="7">
        <v>40</v>
      </c>
      <c r="E558">
        <v>45</v>
      </c>
      <c r="F558">
        <v>50</v>
      </c>
      <c r="G558">
        <v>55</v>
      </c>
      <c r="H558" s="7">
        <v>60</v>
      </c>
      <c r="I558">
        <v>65</v>
      </c>
      <c r="J558">
        <v>70</v>
      </c>
      <c r="K558">
        <v>75</v>
      </c>
      <c r="L558">
        <v>80</v>
      </c>
      <c r="M558">
        <v>85</v>
      </c>
      <c r="N558">
        <v>90</v>
      </c>
      <c r="O558" s="7" t="s">
        <v>61</v>
      </c>
    </row>
    <row r="559" spans="1:15">
      <c r="A559" t="s">
        <v>224</v>
      </c>
      <c r="B559">
        <v>30</v>
      </c>
      <c r="C559">
        <v>35</v>
      </c>
      <c r="D559" s="7">
        <v>40</v>
      </c>
      <c r="E559">
        <v>45</v>
      </c>
      <c r="F559">
        <v>50</v>
      </c>
      <c r="G559">
        <v>55</v>
      </c>
      <c r="H559" s="7">
        <v>60</v>
      </c>
      <c r="I559">
        <v>65</v>
      </c>
      <c r="J559">
        <v>70</v>
      </c>
      <c r="K559">
        <v>75</v>
      </c>
      <c r="L559">
        <v>80</v>
      </c>
      <c r="M559">
        <v>85</v>
      </c>
      <c r="N559">
        <v>90</v>
      </c>
      <c r="O559" s="7" t="s">
        <v>61</v>
      </c>
    </row>
    <row r="562" spans="1:15">
      <c r="D562" s="7"/>
      <c r="H562" s="7"/>
      <c r="L562" s="7"/>
    </row>
    <row r="565" spans="1:15">
      <c r="A565" s="7" t="s">
        <v>193</v>
      </c>
    </row>
    <row r="566" spans="1:15">
      <c r="A566" s="7" t="s">
        <v>122</v>
      </c>
      <c r="B566" s="7" t="s">
        <v>145</v>
      </c>
      <c r="C566" s="7" t="s">
        <v>146</v>
      </c>
      <c r="D566" s="7" t="s">
        <v>147</v>
      </c>
      <c r="E566" s="7" t="s">
        <v>148</v>
      </c>
      <c r="F566" s="7" t="s">
        <v>149</v>
      </c>
      <c r="G566" s="7" t="s">
        <v>150</v>
      </c>
      <c r="H566" s="7" t="s">
        <v>151</v>
      </c>
      <c r="I566" s="7" t="s">
        <v>152</v>
      </c>
      <c r="J566" s="7" t="s">
        <v>153</v>
      </c>
      <c r="K566" s="7" t="s">
        <v>154</v>
      </c>
      <c r="L566" s="7" t="s">
        <v>155</v>
      </c>
      <c r="M566" s="7" t="s">
        <v>156</v>
      </c>
      <c r="N566" s="7" t="s">
        <v>157</v>
      </c>
      <c r="O566" s="7" t="s">
        <v>144</v>
      </c>
    </row>
    <row r="567" spans="1:15">
      <c r="A567" t="s">
        <v>105</v>
      </c>
      <c r="B567">
        <v>30</v>
      </c>
      <c r="C567">
        <v>35</v>
      </c>
      <c r="D567">
        <v>40</v>
      </c>
      <c r="E567">
        <v>45</v>
      </c>
      <c r="F567">
        <v>50</v>
      </c>
      <c r="G567">
        <v>55</v>
      </c>
      <c r="H567">
        <v>60</v>
      </c>
      <c r="O567" t="s">
        <v>191</v>
      </c>
    </row>
    <row r="568" spans="1:15">
      <c r="A568" t="s">
        <v>84</v>
      </c>
      <c r="B568">
        <v>30</v>
      </c>
      <c r="C568">
        <v>35</v>
      </c>
      <c r="D568">
        <v>40</v>
      </c>
      <c r="E568">
        <v>45</v>
      </c>
      <c r="F568">
        <v>50</v>
      </c>
      <c r="G568">
        <v>55</v>
      </c>
      <c r="H568">
        <v>60</v>
      </c>
      <c r="O568" t="s">
        <v>191</v>
      </c>
    </row>
    <row r="569" spans="1:15">
      <c r="A569" t="s">
        <v>82</v>
      </c>
      <c r="B569">
        <v>30</v>
      </c>
      <c r="C569">
        <v>35</v>
      </c>
      <c r="D569">
        <v>40</v>
      </c>
      <c r="E569">
        <v>45</v>
      </c>
      <c r="F569">
        <v>50</v>
      </c>
      <c r="G569">
        <v>55</v>
      </c>
      <c r="H569">
        <v>60</v>
      </c>
      <c r="O569" t="s">
        <v>191</v>
      </c>
    </row>
    <row r="570" spans="1:15">
      <c r="A570" t="s">
        <v>90</v>
      </c>
      <c r="B570">
        <v>30</v>
      </c>
      <c r="C570">
        <v>35</v>
      </c>
      <c r="D570">
        <v>40</v>
      </c>
      <c r="E570">
        <v>45</v>
      </c>
      <c r="F570">
        <v>50</v>
      </c>
      <c r="G570">
        <v>55</v>
      </c>
      <c r="H570">
        <v>60</v>
      </c>
      <c r="O570" t="s">
        <v>191</v>
      </c>
    </row>
    <row r="571" spans="1:15">
      <c r="A571" t="s">
        <v>123</v>
      </c>
      <c r="B571">
        <v>30</v>
      </c>
      <c r="C571">
        <v>35</v>
      </c>
      <c r="D571">
        <v>40</v>
      </c>
      <c r="E571">
        <v>45</v>
      </c>
      <c r="F571">
        <v>50</v>
      </c>
      <c r="G571">
        <v>55</v>
      </c>
      <c r="H571">
        <v>60</v>
      </c>
      <c r="O571" t="s">
        <v>191</v>
      </c>
    </row>
    <row r="572" spans="1:15">
      <c r="A572" t="s">
        <v>124</v>
      </c>
      <c r="B572">
        <v>30</v>
      </c>
      <c r="C572">
        <v>35</v>
      </c>
      <c r="D572">
        <v>40</v>
      </c>
      <c r="E572">
        <v>45</v>
      </c>
      <c r="F572">
        <v>50</v>
      </c>
      <c r="G572">
        <v>55</v>
      </c>
      <c r="H572">
        <v>60</v>
      </c>
      <c r="O572" t="s">
        <v>191</v>
      </c>
    </row>
    <row r="573" spans="1:15">
      <c r="A573" t="s">
        <v>169</v>
      </c>
      <c r="B573">
        <v>30</v>
      </c>
      <c r="C573">
        <v>35</v>
      </c>
      <c r="D573">
        <v>40</v>
      </c>
      <c r="E573">
        <v>45</v>
      </c>
      <c r="F573">
        <v>50</v>
      </c>
      <c r="G573">
        <v>55</v>
      </c>
      <c r="H573">
        <v>60</v>
      </c>
      <c r="O573" t="s">
        <v>191</v>
      </c>
    </row>
    <row r="574" spans="1:15">
      <c r="A574" t="s">
        <v>170</v>
      </c>
      <c r="B574">
        <v>30</v>
      </c>
      <c r="C574">
        <v>35</v>
      </c>
      <c r="D574">
        <v>40</v>
      </c>
      <c r="E574">
        <v>45</v>
      </c>
      <c r="F574">
        <v>50</v>
      </c>
      <c r="G574">
        <v>55</v>
      </c>
      <c r="H574">
        <v>60</v>
      </c>
      <c r="O574" t="s">
        <v>191</v>
      </c>
    </row>
    <row r="575" spans="1:15">
      <c r="A575" s="7" t="s">
        <v>227</v>
      </c>
      <c r="B575">
        <v>30</v>
      </c>
      <c r="C575">
        <v>35</v>
      </c>
      <c r="D575">
        <v>40</v>
      </c>
      <c r="E575">
        <v>45</v>
      </c>
      <c r="F575">
        <v>50</v>
      </c>
      <c r="G575">
        <v>55</v>
      </c>
      <c r="H575">
        <v>60</v>
      </c>
      <c r="J575" s="7"/>
      <c r="K575" s="7"/>
      <c r="O575" t="s">
        <v>191</v>
      </c>
    </row>
    <row r="576" spans="1:15">
      <c r="A576" s="7" t="s">
        <v>139</v>
      </c>
      <c r="B576">
        <v>30</v>
      </c>
      <c r="C576">
        <v>35</v>
      </c>
      <c r="D576">
        <v>40</v>
      </c>
      <c r="E576">
        <v>45</v>
      </c>
      <c r="F576">
        <v>50</v>
      </c>
      <c r="G576">
        <v>55</v>
      </c>
      <c r="H576">
        <v>60</v>
      </c>
      <c r="J576" s="7"/>
      <c r="K576" s="7"/>
      <c r="O576" t="s">
        <v>191</v>
      </c>
    </row>
    <row r="577" spans="1:15">
      <c r="A577" s="7" t="s">
        <v>226</v>
      </c>
      <c r="B577">
        <v>30</v>
      </c>
      <c r="C577">
        <v>35</v>
      </c>
      <c r="D577">
        <v>40</v>
      </c>
      <c r="E577">
        <v>45</v>
      </c>
      <c r="F577">
        <v>50</v>
      </c>
      <c r="G577">
        <v>55</v>
      </c>
      <c r="H577">
        <v>60</v>
      </c>
      <c r="J577" s="7"/>
      <c r="K577" s="7"/>
      <c r="O577" t="s">
        <v>191</v>
      </c>
    </row>
    <row r="578" spans="1:15">
      <c r="A578" t="s">
        <v>85</v>
      </c>
      <c r="B578">
        <v>30</v>
      </c>
      <c r="C578">
        <v>35</v>
      </c>
      <c r="D578">
        <v>40</v>
      </c>
      <c r="E578">
        <v>45</v>
      </c>
      <c r="F578">
        <v>50</v>
      </c>
      <c r="G578">
        <v>55</v>
      </c>
      <c r="H578">
        <v>60</v>
      </c>
      <c r="O578" t="s">
        <v>191</v>
      </c>
    </row>
    <row r="579" spans="1:15">
      <c r="A579" t="s">
        <v>94</v>
      </c>
      <c r="B579">
        <v>30</v>
      </c>
      <c r="C579">
        <v>35</v>
      </c>
      <c r="D579">
        <v>40</v>
      </c>
      <c r="E579">
        <v>45</v>
      </c>
      <c r="F579">
        <v>50</v>
      </c>
      <c r="G579">
        <v>55</v>
      </c>
      <c r="H579">
        <v>60</v>
      </c>
      <c r="O579" t="s">
        <v>191</v>
      </c>
    </row>
    <row r="580" spans="1:15">
      <c r="A580" s="7" t="s">
        <v>223</v>
      </c>
      <c r="B580">
        <v>30</v>
      </c>
      <c r="C580">
        <v>35</v>
      </c>
      <c r="D580">
        <v>40</v>
      </c>
      <c r="E580">
        <v>45</v>
      </c>
      <c r="F580">
        <v>50</v>
      </c>
      <c r="G580">
        <v>55</v>
      </c>
      <c r="H580">
        <v>60</v>
      </c>
      <c r="J580" s="7"/>
      <c r="K580" s="7"/>
      <c r="O580" t="s">
        <v>191</v>
      </c>
    </row>
    <row r="581" spans="1:15">
      <c r="A581" s="7" t="s">
        <v>220</v>
      </c>
      <c r="B581">
        <v>30</v>
      </c>
      <c r="C581">
        <v>35</v>
      </c>
      <c r="D581">
        <v>40</v>
      </c>
      <c r="E581">
        <v>45</v>
      </c>
      <c r="F581">
        <v>50</v>
      </c>
      <c r="G581">
        <v>55</v>
      </c>
      <c r="H581">
        <v>60</v>
      </c>
      <c r="J581" s="7"/>
      <c r="K581" s="7"/>
      <c r="O581" t="s">
        <v>191</v>
      </c>
    </row>
    <row r="582" spans="1:15">
      <c r="A582" t="s">
        <v>171</v>
      </c>
      <c r="B582">
        <v>30</v>
      </c>
      <c r="C582">
        <v>35</v>
      </c>
      <c r="D582">
        <v>40</v>
      </c>
      <c r="E582">
        <v>45</v>
      </c>
      <c r="F582">
        <v>50</v>
      </c>
      <c r="G582">
        <v>55</v>
      </c>
      <c r="H582">
        <v>60</v>
      </c>
      <c r="O582" t="s">
        <v>191</v>
      </c>
    </row>
    <row r="583" spans="1:15">
      <c r="A583" s="7" t="s">
        <v>221</v>
      </c>
      <c r="B583">
        <v>30</v>
      </c>
      <c r="C583">
        <v>35</v>
      </c>
      <c r="D583">
        <v>40</v>
      </c>
      <c r="E583">
        <v>45</v>
      </c>
      <c r="F583">
        <v>50</v>
      </c>
      <c r="G583">
        <v>55</v>
      </c>
      <c r="H583">
        <v>60</v>
      </c>
      <c r="I583" s="7">
        <v>65</v>
      </c>
      <c r="J583" s="7">
        <v>70</v>
      </c>
      <c r="K583" s="7">
        <v>75</v>
      </c>
      <c r="L583">
        <v>80</v>
      </c>
      <c r="M583">
        <v>85</v>
      </c>
      <c r="N583">
        <v>90</v>
      </c>
      <c r="O583" s="7" t="s">
        <v>61</v>
      </c>
    </row>
    <row r="584" spans="1:15" ht="15">
      <c r="A584" s="164" t="s">
        <v>231</v>
      </c>
      <c r="B584">
        <v>25</v>
      </c>
      <c r="C584">
        <v>30</v>
      </c>
      <c r="D584" s="7">
        <v>35</v>
      </c>
      <c r="E584" s="164">
        <v>40</v>
      </c>
      <c r="F584" s="164">
        <v>45</v>
      </c>
      <c r="G584">
        <v>50</v>
      </c>
      <c r="H584">
        <v>55</v>
      </c>
      <c r="I584" s="7">
        <v>60</v>
      </c>
      <c r="J584" s="164"/>
      <c r="K584" s="164"/>
      <c r="O584" s="7" t="s">
        <v>237</v>
      </c>
    </row>
    <row r="585" spans="1:15" ht="15">
      <c r="A585" s="164" t="s">
        <v>232</v>
      </c>
      <c r="B585">
        <v>25</v>
      </c>
      <c r="C585">
        <v>30</v>
      </c>
      <c r="D585" s="7">
        <v>35</v>
      </c>
      <c r="E585" s="164">
        <v>40</v>
      </c>
      <c r="F585" s="164">
        <v>45</v>
      </c>
      <c r="G585">
        <v>50</v>
      </c>
      <c r="H585">
        <v>55</v>
      </c>
      <c r="I585" s="7">
        <v>60</v>
      </c>
      <c r="J585" s="164"/>
      <c r="K585" s="164"/>
      <c r="O585" s="7" t="s">
        <v>237</v>
      </c>
    </row>
  </sheetData>
  <sheetProtection selectLockedCells="1" selectUnlockedCells="1"/>
  <mergeCells count="2">
    <mergeCell ref="D33:R33"/>
    <mergeCell ref="D34:R34"/>
  </mergeCells>
  <phoneticPr fontId="51" type="noConversion"/>
  <pageMargins left="0.7" right="0.7" top="0.75" bottom="0.75" header="0.3" footer="0.3"/>
  <pageSetup orientation="portrait" verticalDpi="0"/>
  <tableParts count="19">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A94FB-4C08-FE4F-A37F-8E22FAA0E6A2}">
  <sheetPr>
    <pageSetUpPr autoPageBreaks="0"/>
  </sheetPr>
  <dimension ref="A1:N263"/>
  <sheetViews>
    <sheetView topLeftCell="A118" workbookViewId="0">
      <selection activeCell="A68" sqref="A68"/>
    </sheetView>
  </sheetViews>
  <sheetFormatPr baseColWidth="10" defaultColWidth="10.83203125" defaultRowHeight="16"/>
  <cols>
    <col min="1" max="1" width="33.5" style="114" bestFit="1" customWidth="1"/>
    <col min="2" max="2" width="10.83203125" style="114"/>
    <col min="3" max="3" width="13.1640625" style="114" customWidth="1"/>
    <col min="4" max="16384" width="10.83203125" style="114"/>
  </cols>
  <sheetData>
    <row r="1" spans="1:13">
      <c r="A1" s="114" t="s">
        <v>122</v>
      </c>
      <c r="B1" s="114" t="s">
        <v>26</v>
      </c>
      <c r="C1" s="114" t="s">
        <v>106</v>
      </c>
      <c r="D1" s="114" t="s">
        <v>107</v>
      </c>
    </row>
    <row r="2" spans="1:13">
      <c r="A2" s="114" t="s">
        <v>105</v>
      </c>
      <c r="B2" s="114">
        <v>4</v>
      </c>
      <c r="C2" s="114">
        <v>6.6360000000000002E-2</v>
      </c>
      <c r="D2" s="114">
        <v>0.48842999999999998</v>
      </c>
    </row>
    <row r="3" spans="1:13">
      <c r="A3" s="114" t="s">
        <v>105</v>
      </c>
      <c r="B3" s="114">
        <v>6</v>
      </c>
      <c r="C3" s="114">
        <v>9.5000000000000001E-2</v>
      </c>
      <c r="D3" s="114">
        <v>0.49869999999999998</v>
      </c>
    </row>
    <row r="4" spans="1:13">
      <c r="A4" s="114" t="s">
        <v>105</v>
      </c>
      <c r="B4" s="114">
        <v>8</v>
      </c>
      <c r="C4" s="114">
        <v>0.124635</v>
      </c>
      <c r="D4" s="114">
        <v>0.50334000000000001</v>
      </c>
    </row>
    <row r="5" spans="1:13">
      <c r="A5" s="114" t="s">
        <v>105</v>
      </c>
      <c r="B5" s="114">
        <v>10</v>
      </c>
      <c r="C5" s="114">
        <v>0.14959</v>
      </c>
      <c r="D5" s="114">
        <v>0.51898</v>
      </c>
    </row>
    <row r="6" spans="1:13">
      <c r="A6" s="114" t="s">
        <v>105</v>
      </c>
      <c r="B6" s="114">
        <v>12</v>
      </c>
      <c r="C6" s="114">
        <v>0.179398</v>
      </c>
      <c r="D6" s="114">
        <v>0.51883800000000002</v>
      </c>
    </row>
    <row r="7" spans="1:13">
      <c r="A7" s="114" t="s">
        <v>105</v>
      </c>
      <c r="B7" s="114">
        <v>15</v>
      </c>
      <c r="C7" s="114">
        <v>0.23569000000000001</v>
      </c>
      <c r="D7" s="114">
        <v>0.50192999999999999</v>
      </c>
    </row>
    <row r="8" spans="1:13">
      <c r="A8" s="114" t="s">
        <v>105</v>
      </c>
      <c r="B8" s="114">
        <v>20</v>
      </c>
      <c r="C8" s="114">
        <v>0.31352999999999998</v>
      </c>
      <c r="D8" s="114">
        <v>0.50233000000000005</v>
      </c>
    </row>
    <row r="9" spans="1:13">
      <c r="A9" s="114" t="s">
        <v>84</v>
      </c>
      <c r="B9" s="114">
        <v>4</v>
      </c>
      <c r="C9" s="114">
        <v>6.6360000000000002E-2</v>
      </c>
      <c r="D9" s="114">
        <v>0.48842999999999998</v>
      </c>
    </row>
    <row r="10" spans="1:13">
      <c r="A10" s="114" t="s">
        <v>84</v>
      </c>
      <c r="B10" s="114">
        <v>6</v>
      </c>
      <c r="C10" s="114">
        <v>9.5000000000000001E-2</v>
      </c>
      <c r="D10" s="114">
        <v>0.49869999999999998</v>
      </c>
    </row>
    <row r="11" spans="1:13">
      <c r="A11" s="114" t="s">
        <v>84</v>
      </c>
      <c r="B11" s="114">
        <v>8</v>
      </c>
      <c r="C11" s="114">
        <v>0.124635</v>
      </c>
      <c r="D11" s="114">
        <v>0.50334000000000001</v>
      </c>
    </row>
    <row r="12" spans="1:13">
      <c r="A12" s="114" t="s">
        <v>84</v>
      </c>
      <c r="B12" s="114">
        <v>10</v>
      </c>
      <c r="C12" s="114">
        <v>0.14959</v>
      </c>
      <c r="D12" s="114">
        <v>0.51898</v>
      </c>
      <c r="I12" s="114" t="s">
        <v>104</v>
      </c>
    </row>
    <row r="13" spans="1:13">
      <c r="A13" s="114" t="s">
        <v>84</v>
      </c>
      <c r="B13" s="114">
        <v>12</v>
      </c>
      <c r="C13" s="114">
        <v>0.179398</v>
      </c>
      <c r="D13" s="114">
        <v>0.51883800000000002</v>
      </c>
    </row>
    <row r="14" spans="1:13">
      <c r="A14" s="114" t="s">
        <v>84</v>
      </c>
      <c r="B14" s="114">
        <v>15</v>
      </c>
      <c r="C14" s="114">
        <v>0.23569000000000001</v>
      </c>
      <c r="D14" s="114">
        <v>0.50192999999999999</v>
      </c>
      <c r="I14" s="114" t="s">
        <v>122</v>
      </c>
      <c r="J14" s="114" t="str">
        <f>SelectedNozzle</f>
        <v>CP11TT 20° Flat Fan</v>
      </c>
    </row>
    <row r="15" spans="1:13">
      <c r="A15" s="114" t="s">
        <v>84</v>
      </c>
      <c r="B15" s="114">
        <v>20</v>
      </c>
      <c r="C15" s="114">
        <v>0.31352999999999998</v>
      </c>
      <c r="D15" s="114">
        <v>0.50233000000000005</v>
      </c>
      <c r="I15" s="114" t="s">
        <v>26</v>
      </c>
      <c r="J15" s="114">
        <f>SelectedOrifice</f>
        <v>4</v>
      </c>
      <c r="L15" s="114" t="s">
        <v>235</v>
      </c>
      <c r="M15" s="114">
        <f>SelectedRestrictor</f>
        <v>0</v>
      </c>
    </row>
    <row r="16" spans="1:13">
      <c r="A16" s="114" t="s">
        <v>84</v>
      </c>
      <c r="B16" s="114">
        <v>25</v>
      </c>
      <c r="C16" s="114">
        <v>0.37908999999999998</v>
      </c>
      <c r="D16" s="114">
        <v>0.51492000000000004</v>
      </c>
    </row>
    <row r="17" spans="1:14">
      <c r="A17" s="114" t="s">
        <v>84</v>
      </c>
      <c r="B17" s="114">
        <v>30</v>
      </c>
      <c r="C17" s="114">
        <v>0.45290000000000002</v>
      </c>
      <c r="D17" s="114">
        <v>0.51598999999999995</v>
      </c>
    </row>
    <row r="18" spans="1:14">
      <c r="A18" s="114" t="s">
        <v>82</v>
      </c>
      <c r="B18" s="114">
        <v>2</v>
      </c>
      <c r="C18" s="114">
        <v>3.2629999999999999E-2</v>
      </c>
      <c r="D18" s="114">
        <v>0.48809999999999998</v>
      </c>
      <c r="J18" s="114" t="s">
        <v>106</v>
      </c>
      <c r="K18" s="114" cm="1">
        <f t="array" ref="K18">IF(OR(J14="AccuFlow Single Row", J14="AccuFlow Double Row"),INDEX(AccuFlowFRTable[a], MATCH(1,(AccuFlowFRTable[Nozzle]=J14)*(AccuFlowFRTable[Orifice]=J15)*(AccuFlowFRTable[Restrictor]=M15), 0)),INDEX(FRTable[a],MATCH(1,(FRTable[Nozzle]=J14) * (FRTable[Orifice]=J15),0)))</f>
        <v>6.6360000000000002E-2</v>
      </c>
    </row>
    <row r="19" spans="1:14">
      <c r="A19" s="114" t="s">
        <v>82</v>
      </c>
      <c r="B19" s="114">
        <v>3</v>
      </c>
      <c r="C19" s="114">
        <v>4.5289999999999997E-2</v>
      </c>
      <c r="D19" s="114">
        <v>0.51365000000000005</v>
      </c>
      <c r="J19" s="114" t="s">
        <v>107</v>
      </c>
      <c r="K19" s="114" cm="1">
        <f t="array" ref="K19">IF(OR(J14="AccuFlow Single Row", J14="AccuFlow Double Row"),INDEX(AccuFlowFRTable[b], MATCH(1,(AccuFlowFRTable[Nozzle]=J14)*(AccuFlowFRTable[Orifice]=J15)*(AccuFlowFRTable[Restrictor]=M15), 0)),INDEX(FRTable[b],MATCH(1,(FRTable[Nozzle]=J14) * (FRTable[Orifice]=J15),0)))</f>
        <v>0.48842999999999998</v>
      </c>
    </row>
    <row r="20" spans="1:14">
      <c r="A20" s="114" t="s">
        <v>82</v>
      </c>
      <c r="B20" s="114">
        <v>4</v>
      </c>
      <c r="C20" s="114">
        <v>6.6360000000000002E-2</v>
      </c>
      <c r="D20" s="114">
        <v>0.48842999999999998</v>
      </c>
      <c r="J20" s="114" t="s">
        <v>108</v>
      </c>
      <c r="K20" s="114">
        <f>K18*K21^K19</f>
        <v>0.34944329500096105</v>
      </c>
      <c r="M20" s="114" t="s">
        <v>117</v>
      </c>
      <c r="N20" s="114">
        <f>'Atomization Model'!D39</f>
        <v>70</v>
      </c>
    </row>
    <row r="21" spans="1:14">
      <c r="A21" s="114" t="s">
        <v>82</v>
      </c>
      <c r="B21" s="114">
        <v>5</v>
      </c>
      <c r="C21" s="114">
        <v>7.7842999999999996E-2</v>
      </c>
      <c r="D21" s="114">
        <v>0.50351999999999997</v>
      </c>
      <c r="J21" s="114" t="s">
        <v>34</v>
      </c>
      <c r="K21" s="114">
        <f>'Atomization Model'!M18</f>
        <v>30</v>
      </c>
      <c r="M21" s="114" t="s">
        <v>118</v>
      </c>
      <c r="N21" s="114">
        <f>'Atomization Model'!D38</f>
        <v>3</v>
      </c>
    </row>
    <row r="22" spans="1:14">
      <c r="A22" s="114" t="s">
        <v>82</v>
      </c>
      <c r="B22" s="114">
        <v>6</v>
      </c>
      <c r="C22" s="114">
        <v>9.5000000000000001E-2</v>
      </c>
      <c r="D22" s="114">
        <v>0.49869999999999998</v>
      </c>
      <c r="J22" s="114" t="s">
        <v>48</v>
      </c>
      <c r="K22" s="114">
        <f>'Atomization Model'!P18</f>
        <v>140</v>
      </c>
      <c r="L22" s="114" t="s">
        <v>119</v>
      </c>
    </row>
    <row r="23" spans="1:14">
      <c r="A23" s="114" t="s">
        <v>82</v>
      </c>
      <c r="B23" s="114">
        <v>8</v>
      </c>
      <c r="C23" s="114">
        <v>0.124635</v>
      </c>
      <c r="D23" s="114">
        <v>0.50334000000000001</v>
      </c>
      <c r="J23" s="114" t="s">
        <v>114</v>
      </c>
      <c r="K23" s="114">
        <f>N21*K22*N20/495</f>
        <v>59.393939393939391</v>
      </c>
    </row>
    <row r="24" spans="1:14">
      <c r="A24" s="114" t="s">
        <v>82</v>
      </c>
      <c r="B24" s="114">
        <v>10</v>
      </c>
      <c r="C24" s="114">
        <v>0.14959</v>
      </c>
      <c r="D24" s="114">
        <v>0.51898</v>
      </c>
    </row>
    <row r="25" spans="1:14">
      <c r="A25" s="114" t="s">
        <v>82</v>
      </c>
      <c r="B25" s="114">
        <v>12</v>
      </c>
      <c r="C25" s="114">
        <v>0.179398</v>
      </c>
      <c r="D25" s="114">
        <v>0.51883800000000002</v>
      </c>
    </row>
    <row r="26" spans="1:14">
      <c r="A26" s="114" t="s">
        <v>82</v>
      </c>
      <c r="B26" s="114">
        <v>15</v>
      </c>
      <c r="C26" s="114">
        <v>0.23569000000000001</v>
      </c>
      <c r="D26" s="114">
        <v>0.50192999999999999</v>
      </c>
    </row>
    <row r="27" spans="1:14">
      <c r="A27" s="114" t="s">
        <v>82</v>
      </c>
      <c r="B27" s="114">
        <v>20</v>
      </c>
      <c r="C27" s="114">
        <v>0.31352999999999998</v>
      </c>
      <c r="D27" s="114">
        <v>0.50233000000000005</v>
      </c>
    </row>
    <row r="28" spans="1:14">
      <c r="A28" s="114" t="s">
        <v>82</v>
      </c>
      <c r="B28" s="114">
        <v>25</v>
      </c>
      <c r="C28" s="114">
        <v>0.37908999999999998</v>
      </c>
      <c r="D28" s="114">
        <v>0.51492000000000004</v>
      </c>
    </row>
    <row r="29" spans="1:14">
      <c r="A29" s="114" t="s">
        <v>82</v>
      </c>
      <c r="B29" s="114">
        <v>30</v>
      </c>
      <c r="C29" s="114">
        <v>0.45290000000000002</v>
      </c>
      <c r="D29" s="114">
        <v>0.51598999999999995</v>
      </c>
    </row>
    <row r="30" spans="1:14">
      <c r="A30" s="114" t="s">
        <v>226</v>
      </c>
      <c r="B30" s="114">
        <v>6.2E-2</v>
      </c>
      <c r="C30" s="114">
        <v>6.7930000000000004E-2</v>
      </c>
      <c r="D30" s="114">
        <v>0.57869700000000002</v>
      </c>
    </row>
    <row r="31" spans="1:14">
      <c r="A31" s="114" t="s">
        <v>226</v>
      </c>
      <c r="B31" s="114">
        <v>7.8E-2</v>
      </c>
      <c r="C31" s="114">
        <v>0.15414</v>
      </c>
      <c r="D31" s="114">
        <v>0.49787999999999999</v>
      </c>
    </row>
    <row r="32" spans="1:14">
      <c r="A32" s="114" t="s">
        <v>226</v>
      </c>
      <c r="B32" s="114">
        <v>0.125</v>
      </c>
      <c r="C32" s="114">
        <v>0.38874999999999998</v>
      </c>
      <c r="D32" s="114">
        <v>0.51605500000000004</v>
      </c>
    </row>
    <row r="33" spans="1:4">
      <c r="A33" s="114" t="s">
        <v>226</v>
      </c>
      <c r="B33" s="114">
        <v>0.17199999999999999</v>
      </c>
      <c r="C33" s="114">
        <v>0.80813100000000004</v>
      </c>
      <c r="D33" s="114">
        <v>0.46081100000000003</v>
      </c>
    </row>
    <row r="34" spans="1:4">
      <c r="A34" s="114" t="s">
        <v>85</v>
      </c>
      <c r="B34" s="114">
        <v>2</v>
      </c>
      <c r="C34" s="114">
        <v>3.4075000000000001E-2</v>
      </c>
      <c r="D34" s="114">
        <v>0.48441000000000001</v>
      </c>
    </row>
    <row r="35" spans="1:4">
      <c r="A35" s="114" t="s">
        <v>85</v>
      </c>
      <c r="B35" s="114">
        <v>4</v>
      </c>
      <c r="C35" s="114">
        <v>5.8841999999999998E-2</v>
      </c>
      <c r="D35" s="114">
        <v>0.48848999999999998</v>
      </c>
    </row>
    <row r="36" spans="1:4">
      <c r="A36" s="114" t="s">
        <v>85</v>
      </c>
      <c r="B36" s="114">
        <v>6</v>
      </c>
      <c r="C36" s="114">
        <v>8.7079799999999999E-2</v>
      </c>
      <c r="D36" s="114">
        <v>0.51458599999999999</v>
      </c>
    </row>
    <row r="37" spans="1:4">
      <c r="A37" s="114" t="s">
        <v>85</v>
      </c>
      <c r="B37" s="114">
        <v>8</v>
      </c>
      <c r="C37" s="114">
        <v>0.122721</v>
      </c>
      <c r="D37" s="114">
        <v>0.521397</v>
      </c>
    </row>
    <row r="38" spans="1:4">
      <c r="A38" s="114" t="s">
        <v>85</v>
      </c>
      <c r="B38" s="114">
        <v>10</v>
      </c>
      <c r="C38" s="114">
        <v>0.15915699999999999</v>
      </c>
      <c r="D38" s="114">
        <v>0.52275000000000005</v>
      </c>
    </row>
    <row r="39" spans="1:4">
      <c r="A39" s="114" t="s">
        <v>85</v>
      </c>
      <c r="B39" s="114">
        <v>12</v>
      </c>
      <c r="C39" s="114">
        <v>0.196716</v>
      </c>
      <c r="D39" s="114">
        <v>0.52396200000000004</v>
      </c>
    </row>
    <row r="40" spans="1:4">
      <c r="A40" s="114" t="s">
        <v>85</v>
      </c>
      <c r="B40" s="114">
        <v>14</v>
      </c>
      <c r="C40" s="114">
        <v>0.230042</v>
      </c>
      <c r="D40" s="114">
        <v>0.51368999999999998</v>
      </c>
    </row>
    <row r="41" spans="1:4">
      <c r="A41" s="114" t="s">
        <v>85</v>
      </c>
      <c r="B41" s="114">
        <v>16</v>
      </c>
      <c r="C41" s="114">
        <v>0.25906000000000001</v>
      </c>
      <c r="D41" s="114">
        <v>0.52352900000000002</v>
      </c>
    </row>
    <row r="42" spans="1:4">
      <c r="A42" s="114" t="s">
        <v>94</v>
      </c>
      <c r="B42" s="114">
        <v>2</v>
      </c>
      <c r="C42" s="114">
        <v>3.4075000000000001E-2</v>
      </c>
      <c r="D42" s="114">
        <v>0.48441000000000001</v>
      </c>
    </row>
    <row r="43" spans="1:4">
      <c r="A43" s="114" t="s">
        <v>94</v>
      </c>
      <c r="B43" s="114">
        <v>4</v>
      </c>
      <c r="C43" s="114">
        <v>5.8841999999999998E-2</v>
      </c>
      <c r="D43" s="114">
        <v>0.48848999999999998</v>
      </c>
    </row>
    <row r="44" spans="1:4">
      <c r="A44" s="114" t="s">
        <v>94</v>
      </c>
      <c r="B44" s="114">
        <v>6</v>
      </c>
      <c r="C44" s="114">
        <v>8.7079799999999999E-2</v>
      </c>
      <c r="D44" s="114">
        <v>0.51458599999999999</v>
      </c>
    </row>
    <row r="45" spans="1:4">
      <c r="A45" s="114" t="s">
        <v>94</v>
      </c>
      <c r="B45" s="114">
        <v>8</v>
      </c>
      <c r="C45" s="114">
        <v>0.122721</v>
      </c>
      <c r="D45" s="114">
        <v>0.521397</v>
      </c>
    </row>
    <row r="46" spans="1:4">
      <c r="A46" s="114" t="s">
        <v>94</v>
      </c>
      <c r="B46" s="114">
        <v>10</v>
      </c>
      <c r="C46" s="114">
        <v>0.15915699999999999</v>
      </c>
      <c r="D46" s="114">
        <v>0.52275000000000005</v>
      </c>
    </row>
    <row r="47" spans="1:4">
      <c r="A47" s="114" t="s">
        <v>123</v>
      </c>
      <c r="B47" s="114">
        <v>2</v>
      </c>
      <c r="C47" s="114">
        <v>2.9048999999999998E-2</v>
      </c>
      <c r="D47" s="114">
        <v>0.51908500000000002</v>
      </c>
    </row>
    <row r="48" spans="1:4">
      <c r="A48" s="114" t="s">
        <v>123</v>
      </c>
      <c r="B48" s="114">
        <v>4</v>
      </c>
      <c r="C48" s="114">
        <v>6.5175999999999998E-2</v>
      </c>
      <c r="D48" s="114">
        <v>0.49385899999999999</v>
      </c>
    </row>
    <row r="49" spans="1:4">
      <c r="A49" s="114" t="s">
        <v>123</v>
      </c>
      <c r="B49" s="114">
        <v>6</v>
      </c>
      <c r="C49" s="114">
        <v>9.3974000000000002E-2</v>
      </c>
      <c r="D49" s="114">
        <v>0.50217500000000004</v>
      </c>
    </row>
    <row r="50" spans="1:4">
      <c r="A50" s="114" t="s">
        <v>123</v>
      </c>
      <c r="B50" s="114">
        <v>8</v>
      </c>
      <c r="C50" s="114">
        <v>0.118101</v>
      </c>
      <c r="D50" s="114">
        <v>0.5616622</v>
      </c>
    </row>
    <row r="51" spans="1:4">
      <c r="A51" s="114" t="s">
        <v>123</v>
      </c>
      <c r="B51" s="114">
        <v>10</v>
      </c>
      <c r="C51" s="114">
        <v>0.15286</v>
      </c>
      <c r="D51" s="114">
        <v>0.50749599999999995</v>
      </c>
    </row>
    <row r="52" spans="1:4">
      <c r="A52" s="114" t="s">
        <v>123</v>
      </c>
      <c r="B52" s="114">
        <v>12</v>
      </c>
      <c r="C52" s="114">
        <v>0.17675399999999999</v>
      </c>
      <c r="D52" s="114">
        <v>0.51710999999999996</v>
      </c>
    </row>
    <row r="53" spans="1:4">
      <c r="A53" s="114" t="s">
        <v>123</v>
      </c>
      <c r="B53" s="114">
        <v>15</v>
      </c>
      <c r="C53" s="114">
        <v>0.22733999999999999</v>
      </c>
      <c r="D53" s="114">
        <v>0.50942699999999996</v>
      </c>
    </row>
    <row r="54" spans="1:4">
      <c r="A54" s="114" t="s">
        <v>123</v>
      </c>
      <c r="B54" s="114">
        <v>20</v>
      </c>
      <c r="C54" s="114">
        <v>0.29049000000000003</v>
      </c>
      <c r="D54" s="114">
        <v>0.51908500000000002</v>
      </c>
    </row>
    <row r="55" spans="1:4">
      <c r="A55" s="114" t="s">
        <v>123</v>
      </c>
      <c r="B55" s="114">
        <v>30</v>
      </c>
      <c r="C55" s="114">
        <v>0.49563000000000001</v>
      </c>
      <c r="D55" s="114">
        <v>0.48860300000000001</v>
      </c>
    </row>
    <row r="56" spans="1:4">
      <c r="A56" s="114" t="s">
        <v>124</v>
      </c>
      <c r="B56" s="114">
        <v>2</v>
      </c>
      <c r="C56" s="114">
        <v>2.9048999999999998E-2</v>
      </c>
      <c r="D56" s="114">
        <v>0.51908500000000002</v>
      </c>
    </row>
    <row r="57" spans="1:4">
      <c r="A57" s="114" t="s">
        <v>124</v>
      </c>
      <c r="B57" s="114">
        <v>4</v>
      </c>
      <c r="C57" s="114">
        <v>6.5175999999999998E-2</v>
      </c>
      <c r="D57" s="114">
        <v>0.49385899999999999</v>
      </c>
    </row>
    <row r="58" spans="1:4">
      <c r="A58" s="114" t="s">
        <v>124</v>
      </c>
      <c r="B58" s="114">
        <v>6</v>
      </c>
      <c r="C58" s="114">
        <v>9.3974000000000002E-2</v>
      </c>
      <c r="D58" s="114">
        <v>0.50217500000000004</v>
      </c>
    </row>
    <row r="59" spans="1:4">
      <c r="A59" s="114" t="s">
        <v>124</v>
      </c>
      <c r="B59" s="114">
        <v>8</v>
      </c>
      <c r="C59" s="114">
        <v>0.118101</v>
      </c>
      <c r="D59" s="114">
        <v>0.5616622</v>
      </c>
    </row>
    <row r="60" spans="1:4">
      <c r="A60" s="114" t="s">
        <v>124</v>
      </c>
      <c r="B60" s="114">
        <v>10</v>
      </c>
      <c r="C60" s="114">
        <v>0.15286</v>
      </c>
      <c r="D60" s="114">
        <v>0.50749599999999995</v>
      </c>
    </row>
    <row r="61" spans="1:4">
      <c r="A61" s="114" t="s">
        <v>124</v>
      </c>
      <c r="B61" s="114">
        <v>12</v>
      </c>
      <c r="C61" s="114">
        <v>0.17675399999999999</v>
      </c>
      <c r="D61" s="114">
        <v>0.51710999999999996</v>
      </c>
    </row>
    <row r="62" spans="1:4">
      <c r="A62" s="114" t="s">
        <v>124</v>
      </c>
      <c r="B62" s="114">
        <v>15</v>
      </c>
      <c r="C62" s="114">
        <v>0.22733999999999999</v>
      </c>
      <c r="D62" s="114">
        <v>0.50942699999999996</v>
      </c>
    </row>
    <row r="63" spans="1:4">
      <c r="A63" s="114" t="s">
        <v>124</v>
      </c>
      <c r="B63" s="114">
        <v>20</v>
      </c>
      <c r="C63" s="114">
        <v>0.29049000000000003</v>
      </c>
      <c r="D63" s="114">
        <v>0.51908500000000002</v>
      </c>
    </row>
    <row r="64" spans="1:4">
      <c r="A64" s="114" t="s">
        <v>124</v>
      </c>
      <c r="B64" s="114">
        <v>30</v>
      </c>
      <c r="C64" s="114">
        <v>0.49563000000000001</v>
      </c>
      <c r="D64" s="114">
        <v>0.48860300000000001</v>
      </c>
    </row>
    <row r="65" spans="1:4">
      <c r="A65" s="114" t="s">
        <v>227</v>
      </c>
      <c r="B65" s="114">
        <v>6.2E-2</v>
      </c>
      <c r="C65" s="114">
        <v>6.7930000000000004E-2</v>
      </c>
      <c r="D65" s="114">
        <v>0.57869700000000002</v>
      </c>
    </row>
    <row r="66" spans="1:4">
      <c r="A66" s="114" t="s">
        <v>227</v>
      </c>
      <c r="B66" s="114">
        <v>7.8E-2</v>
      </c>
      <c r="C66" s="114">
        <v>0.15414</v>
      </c>
      <c r="D66" s="114">
        <v>0.49787999999999999</v>
      </c>
    </row>
    <row r="67" spans="1:4">
      <c r="A67" s="114" t="s">
        <v>227</v>
      </c>
      <c r="B67" s="114">
        <v>0.125</v>
      </c>
      <c r="C67" s="114">
        <v>0.38874999999999998</v>
      </c>
      <c r="D67" s="114">
        <v>0.51605500000000004</v>
      </c>
    </row>
    <row r="68" spans="1:4">
      <c r="A68" s="114" t="s">
        <v>227</v>
      </c>
      <c r="B68" s="114">
        <v>0.17199999999999999</v>
      </c>
      <c r="C68" s="114">
        <v>0.80813100000000004</v>
      </c>
      <c r="D68" s="114">
        <v>0.46081100000000003</v>
      </c>
    </row>
    <row r="69" spans="1:4">
      <c r="A69" s="114" t="s">
        <v>90</v>
      </c>
      <c r="B69" s="114">
        <v>6</v>
      </c>
      <c r="C69" s="114">
        <v>9.5000000000000001E-2</v>
      </c>
      <c r="D69" s="114">
        <v>0.49869999999999998</v>
      </c>
    </row>
    <row r="70" spans="1:4">
      <c r="A70" s="114" t="s">
        <v>90</v>
      </c>
      <c r="B70" s="114">
        <v>8</v>
      </c>
      <c r="C70" s="114">
        <v>0.124635</v>
      </c>
      <c r="D70" s="114">
        <v>0.50334000000000001</v>
      </c>
    </row>
    <row r="71" spans="1:4">
      <c r="A71" s="114" t="s">
        <v>90</v>
      </c>
      <c r="B71" s="114">
        <v>10</v>
      </c>
      <c r="C71" s="114">
        <v>0.14959</v>
      </c>
      <c r="D71" s="114">
        <v>0.51898</v>
      </c>
    </row>
    <row r="72" spans="1:4">
      <c r="A72" s="114" t="s">
        <v>90</v>
      </c>
      <c r="B72" s="114">
        <v>12</v>
      </c>
      <c r="C72" s="114">
        <v>0.179398</v>
      </c>
      <c r="D72" s="114">
        <v>0.51883800000000002</v>
      </c>
    </row>
    <row r="73" spans="1:4">
      <c r="A73" s="114" t="s">
        <v>90</v>
      </c>
      <c r="B73" s="114">
        <v>15</v>
      </c>
      <c r="C73" s="114">
        <v>0.23569000000000001</v>
      </c>
      <c r="D73" s="114">
        <v>0.50192999999999999</v>
      </c>
    </row>
    <row r="74" spans="1:4">
      <c r="A74" s="114" t="s">
        <v>90</v>
      </c>
      <c r="B74" s="114">
        <v>20</v>
      </c>
      <c r="C74" s="114">
        <v>0.31352999999999998</v>
      </c>
      <c r="D74" s="114">
        <v>0.50233000000000005</v>
      </c>
    </row>
    <row r="75" spans="1:4">
      <c r="A75" s="114" t="s">
        <v>90</v>
      </c>
      <c r="B75" s="114">
        <v>25</v>
      </c>
      <c r="C75" s="114">
        <v>0.37908999999999998</v>
      </c>
      <c r="D75" s="114">
        <v>0.51492000000000004</v>
      </c>
    </row>
    <row r="76" spans="1:4">
      <c r="A76" s="114" t="s">
        <v>169</v>
      </c>
      <c r="B76" s="114">
        <v>2</v>
      </c>
      <c r="C76" s="114">
        <v>1.942E-2</v>
      </c>
      <c r="D76" s="114">
        <v>0.63424999999999998</v>
      </c>
    </row>
    <row r="77" spans="1:4">
      <c r="A77" s="114" t="s">
        <v>169</v>
      </c>
      <c r="B77" s="114">
        <v>3</v>
      </c>
      <c r="C77" s="114">
        <v>3.4320000000000003E-2</v>
      </c>
      <c r="D77" s="114">
        <v>0.55706</v>
      </c>
    </row>
    <row r="78" spans="1:4">
      <c r="A78" s="114" t="s">
        <v>169</v>
      </c>
      <c r="B78" s="114">
        <v>4</v>
      </c>
      <c r="C78" s="114">
        <v>6.4280000000000004E-2</v>
      </c>
      <c r="D78" s="114">
        <v>0.52880000000000005</v>
      </c>
    </row>
    <row r="79" spans="1:4">
      <c r="A79" s="114" t="s">
        <v>169</v>
      </c>
      <c r="B79" s="114">
        <v>5</v>
      </c>
      <c r="C79" s="114">
        <v>0.11855</v>
      </c>
      <c r="D79" s="114">
        <v>0.49620999999999998</v>
      </c>
    </row>
    <row r="80" spans="1:4">
      <c r="A80" s="114" t="s">
        <v>169</v>
      </c>
      <c r="B80" s="114">
        <v>6</v>
      </c>
      <c r="C80" s="114">
        <v>0.2</v>
      </c>
      <c r="D80" s="114">
        <v>0.44944000000000001</v>
      </c>
    </row>
    <row r="81" spans="1:4">
      <c r="A81" s="114" t="s">
        <v>169</v>
      </c>
      <c r="B81" s="114">
        <v>7</v>
      </c>
      <c r="C81" s="114">
        <v>0.22658</v>
      </c>
      <c r="D81" s="114">
        <v>0.49503799999999998</v>
      </c>
    </row>
    <row r="82" spans="1:4">
      <c r="A82" s="114" t="s">
        <v>169</v>
      </c>
      <c r="B82" s="114">
        <v>8</v>
      </c>
      <c r="C82" s="114">
        <v>0.35376000000000002</v>
      </c>
      <c r="D82" s="114">
        <v>0.44996999999999998</v>
      </c>
    </row>
    <row r="83" spans="1:4">
      <c r="A83" s="114" t="s">
        <v>169</v>
      </c>
      <c r="B83" s="114">
        <v>10</v>
      </c>
      <c r="C83" s="114">
        <v>0.47805999999999998</v>
      </c>
      <c r="D83" s="114">
        <v>0.47081000000000001</v>
      </c>
    </row>
    <row r="84" spans="1:4">
      <c r="A84" s="114" t="s">
        <v>169</v>
      </c>
      <c r="B84" s="114">
        <v>12</v>
      </c>
      <c r="C84" s="114">
        <v>0.56108000000000002</v>
      </c>
      <c r="D84" s="114">
        <v>0.49034</v>
      </c>
    </row>
    <row r="85" spans="1:4">
      <c r="A85" s="114" t="s">
        <v>139</v>
      </c>
      <c r="B85" s="114">
        <v>6.0999999999999999E-2</v>
      </c>
      <c r="C85" s="114">
        <v>0.107668</v>
      </c>
      <c r="D85" s="114">
        <v>0.49492700000000001</v>
      </c>
    </row>
    <row r="86" spans="1:4">
      <c r="A86" s="114" t="s">
        <v>139</v>
      </c>
      <c r="B86" s="114">
        <v>7.8E-2</v>
      </c>
      <c r="C86" s="114">
        <v>0.171653</v>
      </c>
      <c r="D86" s="114">
        <v>0.48879899999999998</v>
      </c>
    </row>
    <row r="87" spans="1:4">
      <c r="A87" s="114" t="s">
        <v>139</v>
      </c>
      <c r="B87" s="114">
        <v>0.125</v>
      </c>
      <c r="C87" s="114">
        <v>0.38169900000000001</v>
      </c>
      <c r="D87" s="114">
        <v>0.50012299999999998</v>
      </c>
    </row>
    <row r="88" spans="1:4">
      <c r="A88" s="114" t="s">
        <v>134</v>
      </c>
      <c r="B88" s="114">
        <v>2</v>
      </c>
      <c r="C88" s="114">
        <v>3.1243E-2</v>
      </c>
      <c r="D88" s="114">
        <v>0.50135300000000005</v>
      </c>
    </row>
    <row r="89" spans="1:4">
      <c r="A89" s="114" t="s">
        <v>134</v>
      </c>
      <c r="B89" s="114">
        <v>3</v>
      </c>
      <c r="C89" s="114">
        <v>4.6759000000000002E-2</v>
      </c>
      <c r="D89" s="114">
        <v>0.50377499999999997</v>
      </c>
    </row>
    <row r="90" spans="1:4">
      <c r="A90" s="114" t="s">
        <v>134</v>
      </c>
      <c r="B90" s="114">
        <v>4</v>
      </c>
      <c r="C90" s="114">
        <v>6.2277399999999997E-2</v>
      </c>
      <c r="D90" s="114">
        <v>0.50496859999999999</v>
      </c>
    </row>
    <row r="91" spans="1:4">
      <c r="A91" s="114" t="s">
        <v>134</v>
      </c>
      <c r="B91" s="114">
        <v>6</v>
      </c>
      <c r="C91" s="114">
        <v>9.3517240000000001E-2</v>
      </c>
      <c r="D91" s="114">
        <v>0.50377510000000003</v>
      </c>
    </row>
    <row r="92" spans="1:4">
      <c r="A92" s="114" t="s">
        <v>134</v>
      </c>
      <c r="B92" s="114">
        <v>8</v>
      </c>
      <c r="C92" s="114">
        <v>0.127919</v>
      </c>
      <c r="D92" s="114">
        <v>0.49671650000000001</v>
      </c>
    </row>
    <row r="93" spans="1:4">
      <c r="A93" s="114" t="s">
        <v>134</v>
      </c>
      <c r="B93" s="114">
        <v>10</v>
      </c>
      <c r="C93" s="114">
        <v>0.158941</v>
      </c>
      <c r="D93" s="114">
        <v>0.49909100000000001</v>
      </c>
    </row>
    <row r="94" spans="1:4">
      <c r="A94" s="114" t="s">
        <v>134</v>
      </c>
      <c r="B94" s="114">
        <v>12</v>
      </c>
      <c r="C94" s="114">
        <v>0.216582</v>
      </c>
      <c r="D94" s="114">
        <v>0.46788800000000003</v>
      </c>
    </row>
    <row r="95" spans="1:4">
      <c r="A95" s="114" t="s">
        <v>134</v>
      </c>
      <c r="B95" s="114">
        <v>15</v>
      </c>
      <c r="C95" s="114">
        <v>0.23694200000000001</v>
      </c>
      <c r="D95" s="114">
        <v>0.50031999999999999</v>
      </c>
    </row>
    <row r="96" spans="1:4">
      <c r="A96" s="114" t="s">
        <v>134</v>
      </c>
      <c r="B96" s="114">
        <v>20</v>
      </c>
      <c r="C96" s="114">
        <v>0.314942</v>
      </c>
      <c r="D96" s="114">
        <v>0.50093869999999996</v>
      </c>
    </row>
    <row r="97" spans="1:4">
      <c r="A97" s="114" t="s">
        <v>135</v>
      </c>
      <c r="B97" s="114">
        <v>2</v>
      </c>
      <c r="C97" s="114">
        <v>3.1243E-2</v>
      </c>
      <c r="D97" s="114">
        <v>0.50135300000000005</v>
      </c>
    </row>
    <row r="98" spans="1:4">
      <c r="A98" s="114" t="s">
        <v>135</v>
      </c>
      <c r="B98" s="114">
        <v>3</v>
      </c>
      <c r="C98" s="114">
        <v>4.6759000000000002E-2</v>
      </c>
      <c r="D98" s="114">
        <v>0.50377499999999997</v>
      </c>
    </row>
    <row r="99" spans="1:4">
      <c r="A99" s="114" t="s">
        <v>135</v>
      </c>
      <c r="B99" s="114">
        <v>4</v>
      </c>
      <c r="C99" s="114">
        <v>6.2277399999999997E-2</v>
      </c>
      <c r="D99" s="114">
        <v>0.50496859999999999</v>
      </c>
    </row>
    <row r="100" spans="1:4">
      <c r="A100" s="114" t="s">
        <v>135</v>
      </c>
      <c r="B100" s="114">
        <v>6</v>
      </c>
      <c r="C100" s="114">
        <v>9.3517240000000001E-2</v>
      </c>
      <c r="D100" s="114">
        <v>0.50377510000000003</v>
      </c>
    </row>
    <row r="101" spans="1:4">
      <c r="A101" s="114" t="s">
        <v>135</v>
      </c>
      <c r="B101" s="114">
        <v>8</v>
      </c>
      <c r="C101" s="114">
        <v>0.127919</v>
      </c>
      <c r="D101" s="114">
        <v>0.49671650000000001</v>
      </c>
    </row>
    <row r="102" spans="1:4">
      <c r="A102" s="114" t="s">
        <v>135</v>
      </c>
      <c r="B102" s="114">
        <v>10</v>
      </c>
      <c r="C102" s="114">
        <v>0.158941</v>
      </c>
      <c r="D102" s="114">
        <v>0.49909100000000001</v>
      </c>
    </row>
    <row r="103" spans="1:4">
      <c r="A103" s="114" t="s">
        <v>135</v>
      </c>
      <c r="B103" s="114">
        <v>12</v>
      </c>
      <c r="C103" s="114">
        <v>0.216582</v>
      </c>
      <c r="D103" s="114">
        <v>0.46788800000000003</v>
      </c>
    </row>
    <row r="104" spans="1:4">
      <c r="A104" s="114" t="s">
        <v>135</v>
      </c>
      <c r="B104" s="114">
        <v>15</v>
      </c>
      <c r="C104" s="114">
        <v>0.23694200000000001</v>
      </c>
      <c r="D104" s="114">
        <v>0.50031999999999999</v>
      </c>
    </row>
    <row r="105" spans="1:4">
      <c r="A105" s="114" t="s">
        <v>135</v>
      </c>
      <c r="B105" s="114">
        <v>20</v>
      </c>
      <c r="C105" s="114">
        <v>0.314942</v>
      </c>
      <c r="D105" s="114">
        <v>0.50093869999999996</v>
      </c>
    </row>
    <row r="106" spans="1:4">
      <c r="A106" s="114" t="s">
        <v>223</v>
      </c>
      <c r="B106" s="114">
        <v>6.2E-2</v>
      </c>
      <c r="C106" s="114">
        <v>6.7930000000000004E-2</v>
      </c>
      <c r="D106" s="114">
        <v>0.57869700000000002</v>
      </c>
    </row>
    <row r="107" spans="1:4">
      <c r="A107" s="114" t="s">
        <v>223</v>
      </c>
      <c r="B107" s="114">
        <v>7.8E-2</v>
      </c>
      <c r="C107" s="114">
        <v>0.15414</v>
      </c>
      <c r="D107" s="114">
        <v>0.49787999999999999</v>
      </c>
    </row>
    <row r="108" spans="1:4">
      <c r="A108" s="114" t="s">
        <v>223</v>
      </c>
      <c r="B108" s="114">
        <v>0.125</v>
      </c>
      <c r="C108" s="114">
        <v>0.38874999999999998</v>
      </c>
      <c r="D108" s="114">
        <v>0.51605500000000004</v>
      </c>
    </row>
    <row r="109" spans="1:4">
      <c r="A109" s="174" t="s">
        <v>223</v>
      </c>
      <c r="B109" s="114">
        <v>0.17199999999999999</v>
      </c>
      <c r="C109" s="114">
        <v>0.80813100000000004</v>
      </c>
      <c r="D109" s="114">
        <v>0.46081100000000003</v>
      </c>
    </row>
    <row r="110" spans="1:4">
      <c r="A110" s="114" t="s">
        <v>220</v>
      </c>
      <c r="B110" s="114">
        <v>6.0999999999999999E-2</v>
      </c>
      <c r="C110" s="114">
        <v>0.107668</v>
      </c>
      <c r="D110" s="114">
        <v>0.49492700000000001</v>
      </c>
    </row>
    <row r="111" spans="1:4">
      <c r="A111" s="114" t="s">
        <v>220</v>
      </c>
      <c r="B111" s="114">
        <v>7.8E-2</v>
      </c>
      <c r="C111" s="114">
        <v>0.171653</v>
      </c>
      <c r="D111" s="114">
        <v>0.48879899999999998</v>
      </c>
    </row>
    <row r="112" spans="1:4">
      <c r="A112" s="114" t="s">
        <v>220</v>
      </c>
      <c r="B112" s="114">
        <v>0.125</v>
      </c>
      <c r="C112" s="114">
        <v>0.38169900000000001</v>
      </c>
      <c r="D112" s="114">
        <v>0.50012299999999998</v>
      </c>
    </row>
    <row r="113" spans="1:4">
      <c r="A113" s="114" t="s">
        <v>170</v>
      </c>
      <c r="B113" s="114">
        <v>2</v>
      </c>
      <c r="C113" s="114">
        <v>1.942E-2</v>
      </c>
      <c r="D113" s="114">
        <v>0.63424999999999998</v>
      </c>
    </row>
    <row r="114" spans="1:4">
      <c r="A114" s="114" t="s">
        <v>170</v>
      </c>
      <c r="B114" s="114">
        <v>4</v>
      </c>
      <c r="C114" s="114">
        <v>6.4280000000000004E-2</v>
      </c>
      <c r="D114" s="114">
        <v>0.52880000000000005</v>
      </c>
    </row>
    <row r="115" spans="1:4">
      <c r="A115" s="114" t="s">
        <v>170</v>
      </c>
      <c r="B115" s="114">
        <v>6</v>
      </c>
      <c r="C115" s="114">
        <v>0.2</v>
      </c>
      <c r="D115" s="114">
        <v>0.44944000000000001</v>
      </c>
    </row>
    <row r="116" spans="1:4">
      <c r="A116" s="114" t="s">
        <v>170</v>
      </c>
      <c r="B116" s="114">
        <v>8</v>
      </c>
      <c r="C116" s="114">
        <v>0.35376000000000002</v>
      </c>
      <c r="D116" s="114">
        <v>0.44996999999999998</v>
      </c>
    </row>
    <row r="117" spans="1:4">
      <c r="A117" s="114" t="s">
        <v>170</v>
      </c>
      <c r="B117" s="114">
        <v>10</v>
      </c>
      <c r="C117" s="114">
        <v>0.47805999999999998</v>
      </c>
      <c r="D117" s="114">
        <v>0.47081000000000001</v>
      </c>
    </row>
    <row r="118" spans="1:4">
      <c r="A118" s="114" t="s">
        <v>85</v>
      </c>
      <c r="B118" s="114">
        <v>2</v>
      </c>
      <c r="C118" s="114">
        <v>3.4075000000000001E-2</v>
      </c>
      <c r="D118" s="114">
        <v>0.48441000000000001</v>
      </c>
    </row>
    <row r="119" spans="1:4">
      <c r="A119" s="114" t="s">
        <v>85</v>
      </c>
      <c r="B119" s="114">
        <v>4</v>
      </c>
      <c r="C119" s="114">
        <v>5.8841999999999998E-2</v>
      </c>
      <c r="D119" s="114">
        <v>0.48848999999999998</v>
      </c>
    </row>
    <row r="120" spans="1:4">
      <c r="A120" s="114" t="s">
        <v>85</v>
      </c>
      <c r="B120" s="114">
        <v>6</v>
      </c>
      <c r="C120" s="114">
        <v>8.7079799999999999E-2</v>
      </c>
      <c r="D120" s="114">
        <v>0.51458599999999999</v>
      </c>
    </row>
    <row r="121" spans="1:4">
      <c r="A121" s="114" t="s">
        <v>85</v>
      </c>
      <c r="B121" s="114">
        <v>8</v>
      </c>
      <c r="C121" s="114">
        <v>0.122721</v>
      </c>
      <c r="D121" s="114">
        <v>0.521397</v>
      </c>
    </row>
    <row r="122" spans="1:4">
      <c r="A122" s="114" t="s">
        <v>85</v>
      </c>
      <c r="B122" s="114">
        <v>10</v>
      </c>
      <c r="C122" s="114">
        <v>0.15915699999999999</v>
      </c>
      <c r="D122" s="114">
        <v>0.52275000000000005</v>
      </c>
    </row>
    <row r="123" spans="1:4">
      <c r="A123" s="114" t="s">
        <v>85</v>
      </c>
      <c r="B123" s="114">
        <v>12</v>
      </c>
      <c r="C123" s="114">
        <v>0.196716</v>
      </c>
      <c r="D123" s="114">
        <v>0.52396200000000004</v>
      </c>
    </row>
    <row r="124" spans="1:4">
      <c r="A124" s="114" t="s">
        <v>85</v>
      </c>
      <c r="B124" s="114">
        <v>14</v>
      </c>
      <c r="C124" s="114">
        <v>0.230042</v>
      </c>
      <c r="D124" s="114">
        <v>0.51368999999999998</v>
      </c>
    </row>
    <row r="125" spans="1:4">
      <c r="A125" s="114" t="s">
        <v>85</v>
      </c>
      <c r="B125" s="114">
        <v>16</v>
      </c>
      <c r="C125" s="114">
        <v>0.25906000000000001</v>
      </c>
      <c r="D125" s="114">
        <v>0.52352900000000002</v>
      </c>
    </row>
    <row r="126" spans="1:4">
      <c r="A126" s="114" t="s">
        <v>94</v>
      </c>
      <c r="B126" s="114">
        <v>2</v>
      </c>
      <c r="C126" s="114">
        <v>3.4075000000000001E-2</v>
      </c>
      <c r="D126" s="114">
        <v>0.48441000000000001</v>
      </c>
    </row>
    <row r="127" spans="1:4">
      <c r="A127" s="114" t="s">
        <v>94</v>
      </c>
      <c r="B127" s="114">
        <v>4</v>
      </c>
      <c r="C127" s="114">
        <v>5.8841999999999998E-2</v>
      </c>
      <c r="D127" s="114">
        <v>0.48848999999999998</v>
      </c>
    </row>
    <row r="128" spans="1:4">
      <c r="A128" s="114" t="s">
        <v>94</v>
      </c>
      <c r="B128" s="114">
        <v>6</v>
      </c>
      <c r="C128" s="114">
        <v>8.7079799999999999E-2</v>
      </c>
      <c r="D128" s="114">
        <v>0.51458599999999999</v>
      </c>
    </row>
    <row r="129" spans="1:4">
      <c r="A129" s="114" t="s">
        <v>94</v>
      </c>
      <c r="B129" s="114">
        <v>8</v>
      </c>
      <c r="C129" s="114">
        <v>0.122721</v>
      </c>
      <c r="D129" s="114">
        <v>0.521397</v>
      </c>
    </row>
    <row r="130" spans="1:4">
      <c r="A130" s="114" t="s">
        <v>94</v>
      </c>
      <c r="B130" s="114">
        <v>10</v>
      </c>
      <c r="C130" s="114">
        <v>0.15915699999999999</v>
      </c>
      <c r="D130" s="114">
        <v>0.52275000000000005</v>
      </c>
    </row>
    <row r="131" spans="1:4">
      <c r="A131" s="114" t="s">
        <v>171</v>
      </c>
      <c r="B131" s="114">
        <v>4</v>
      </c>
      <c r="C131" s="114">
        <v>6.5175999999999998E-2</v>
      </c>
      <c r="D131" s="114">
        <v>0.49385899999999999</v>
      </c>
    </row>
    <row r="132" spans="1:4">
      <c r="A132" s="114" t="s">
        <v>171</v>
      </c>
      <c r="B132" s="114">
        <v>6</v>
      </c>
      <c r="C132" s="114">
        <v>9.3974000000000002E-2</v>
      </c>
      <c r="D132" s="114">
        <v>0.50217500000000004</v>
      </c>
    </row>
    <row r="133" spans="1:4">
      <c r="A133" s="114" t="s">
        <v>171</v>
      </c>
      <c r="B133" s="114">
        <v>8</v>
      </c>
      <c r="C133" s="114">
        <v>0.118101</v>
      </c>
      <c r="D133" s="114">
        <v>0.5616622</v>
      </c>
    </row>
    <row r="134" spans="1:4">
      <c r="A134" s="114" t="s">
        <v>142</v>
      </c>
      <c r="B134" s="114">
        <v>40</v>
      </c>
      <c r="C134" s="114">
        <v>0.62090000000000001</v>
      </c>
      <c r="D134" s="114">
        <v>0.505</v>
      </c>
    </row>
    <row r="135" spans="1:4">
      <c r="A135" s="114" t="s">
        <v>221</v>
      </c>
      <c r="B135" s="114">
        <v>6.2E-2</v>
      </c>
      <c r="C135" s="114">
        <v>8.5209999999999994E-2</v>
      </c>
      <c r="D135" s="114">
        <v>0.54183999999999999</v>
      </c>
    </row>
    <row r="136" spans="1:4">
      <c r="A136" s="114" t="s">
        <v>221</v>
      </c>
      <c r="B136" s="114">
        <v>7.8E-2</v>
      </c>
      <c r="C136" s="114">
        <v>0.12417</v>
      </c>
      <c r="D136" s="114">
        <v>0.54944000000000004</v>
      </c>
    </row>
    <row r="137" spans="1:4">
      <c r="A137" s="114" t="s">
        <v>221</v>
      </c>
      <c r="B137" s="114">
        <v>0.125</v>
      </c>
      <c r="C137" s="114">
        <v>0.25650000000000001</v>
      </c>
      <c r="D137" s="114">
        <v>0.54984</v>
      </c>
    </row>
    <row r="138" spans="1:4">
      <c r="A138" s="114" t="s">
        <v>221</v>
      </c>
      <c r="B138" s="114">
        <v>0.17199999999999999</v>
      </c>
      <c r="C138" s="114">
        <v>0.38775999999999999</v>
      </c>
      <c r="D138" s="114">
        <v>0.51260099999999997</v>
      </c>
    </row>
    <row r="139" spans="1:4">
      <c r="A139" s="114" t="s">
        <v>222</v>
      </c>
      <c r="B139" s="114">
        <v>6.2E-2</v>
      </c>
      <c r="C139" s="114">
        <v>8.5209999999999994E-2</v>
      </c>
      <c r="D139" s="114">
        <v>0.54183999999999999</v>
      </c>
    </row>
    <row r="140" spans="1:4">
      <c r="A140" s="114" t="s">
        <v>222</v>
      </c>
      <c r="B140" s="114">
        <v>7.8E-2</v>
      </c>
      <c r="C140" s="114">
        <v>0.12417</v>
      </c>
      <c r="D140" s="114">
        <v>0.54944000000000004</v>
      </c>
    </row>
    <row r="141" spans="1:4">
      <c r="A141" s="114" t="s">
        <v>222</v>
      </c>
      <c r="B141" s="114">
        <v>0.125</v>
      </c>
      <c r="C141" s="114">
        <v>0.25650000000000001</v>
      </c>
      <c r="D141" s="114">
        <v>0.54984</v>
      </c>
    </row>
    <row r="142" spans="1:4">
      <c r="A142" s="114" t="s">
        <v>222</v>
      </c>
      <c r="B142" s="114">
        <v>0.17199999999999999</v>
      </c>
      <c r="C142" s="114">
        <v>0.38775999999999999</v>
      </c>
      <c r="D142" s="114">
        <v>0.51260099999999997</v>
      </c>
    </row>
    <row r="143" spans="1:4">
      <c r="A143" s="114" t="s">
        <v>224</v>
      </c>
      <c r="B143" s="114">
        <v>6.2E-2</v>
      </c>
      <c r="C143" s="114">
        <v>8.5209999999999994E-2</v>
      </c>
      <c r="D143" s="114">
        <v>0.54183999999999999</v>
      </c>
    </row>
    <row r="144" spans="1:4">
      <c r="A144" s="114" t="s">
        <v>224</v>
      </c>
      <c r="B144" s="114">
        <v>7.8E-2</v>
      </c>
      <c r="C144" s="114">
        <v>0.12417</v>
      </c>
      <c r="D144" s="114">
        <v>0.54944000000000004</v>
      </c>
    </row>
    <row r="145" spans="1:4">
      <c r="A145" s="114" t="s">
        <v>224</v>
      </c>
      <c r="B145" s="114">
        <v>0.125</v>
      </c>
      <c r="C145" s="114">
        <v>0.25650000000000001</v>
      </c>
      <c r="D145" s="114">
        <v>0.54984</v>
      </c>
    </row>
    <row r="146" spans="1:4">
      <c r="A146" s="114" t="s">
        <v>224</v>
      </c>
      <c r="B146" s="114">
        <v>0.17199999999999999</v>
      </c>
      <c r="C146" s="114">
        <v>0.38775999999999999</v>
      </c>
      <c r="D146" s="114">
        <v>0.51260099999999997</v>
      </c>
    </row>
    <row r="147" spans="1:4">
      <c r="A147" s="114" t="s">
        <v>215</v>
      </c>
      <c r="B147" s="114">
        <v>6.7000000000000004E-2</v>
      </c>
      <c r="C147" s="114">
        <v>6.0499999999999998E-2</v>
      </c>
      <c r="D147" s="114">
        <v>0.56230000000000002</v>
      </c>
    </row>
    <row r="148" spans="1:4">
      <c r="A148" s="114" t="s">
        <v>215</v>
      </c>
      <c r="B148" s="114">
        <v>8.2000000000000003E-2</v>
      </c>
      <c r="C148" s="114">
        <v>0.13239999999999999</v>
      </c>
      <c r="D148" s="114">
        <v>0.54790000000000005</v>
      </c>
    </row>
    <row r="149" spans="1:4">
      <c r="A149" s="114" t="s">
        <v>215</v>
      </c>
      <c r="B149" s="114">
        <v>0.104</v>
      </c>
      <c r="C149" s="114">
        <v>0.2379</v>
      </c>
      <c r="D149" s="114">
        <v>0.52690000000000003</v>
      </c>
    </row>
    <row r="150" spans="1:4">
      <c r="A150" s="114" t="s">
        <v>215</v>
      </c>
      <c r="B150" s="114">
        <v>0.125</v>
      </c>
      <c r="C150" s="114">
        <v>0.3387</v>
      </c>
      <c r="D150" s="114">
        <v>0.50680000000000003</v>
      </c>
    </row>
    <row r="151" spans="1:4">
      <c r="A151" s="114" t="s">
        <v>215</v>
      </c>
      <c r="B151" s="114">
        <v>0.14399999999999999</v>
      </c>
      <c r="C151" s="114">
        <v>0.42980000000000002</v>
      </c>
      <c r="D151" s="114">
        <v>0.48859999999999998</v>
      </c>
    </row>
    <row r="152" spans="1:4">
      <c r="A152" s="114" t="s">
        <v>214</v>
      </c>
      <c r="B152" s="114">
        <v>6.7000000000000004E-2</v>
      </c>
      <c r="C152" s="114">
        <v>6.0499999999999998E-2</v>
      </c>
      <c r="D152" s="114">
        <v>0.56230000000000002</v>
      </c>
    </row>
    <row r="153" spans="1:4">
      <c r="A153" s="114" t="s">
        <v>214</v>
      </c>
      <c r="B153" s="114">
        <v>8.2000000000000003E-2</v>
      </c>
      <c r="C153" s="114">
        <v>0.13239999999999999</v>
      </c>
      <c r="D153" s="114">
        <v>0.54790000000000005</v>
      </c>
    </row>
    <row r="154" spans="1:4">
      <c r="A154" s="114" t="s">
        <v>214</v>
      </c>
      <c r="B154" s="114">
        <v>0.104</v>
      </c>
      <c r="C154" s="114">
        <v>0.2379</v>
      </c>
      <c r="D154" s="114">
        <v>0.52690000000000003</v>
      </c>
    </row>
    <row r="155" spans="1:4">
      <c r="A155" s="114" t="s">
        <v>214</v>
      </c>
      <c r="B155" s="114">
        <v>0.125</v>
      </c>
      <c r="C155" s="114">
        <v>0.3387</v>
      </c>
      <c r="D155" s="114">
        <v>0.50680000000000003</v>
      </c>
    </row>
    <row r="156" spans="1:4">
      <c r="A156" s="114" t="s">
        <v>214</v>
      </c>
      <c r="B156" s="114">
        <v>0.14399999999999999</v>
      </c>
      <c r="C156" s="114">
        <v>0.42980000000000002</v>
      </c>
      <c r="D156" s="114">
        <v>0.48859999999999998</v>
      </c>
    </row>
    <row r="157" spans="1:4">
      <c r="A157" s="114" t="s">
        <v>218</v>
      </c>
      <c r="B157" s="114">
        <v>2.8000000000000001E-2</v>
      </c>
      <c r="C157" s="114">
        <v>2.5000000000000001E-2</v>
      </c>
      <c r="D157" s="114">
        <v>0.59950000000000003</v>
      </c>
    </row>
    <row r="158" spans="1:4">
      <c r="A158" s="114" t="s">
        <v>218</v>
      </c>
      <c r="B158" s="114">
        <v>3.7999999999999999E-2</v>
      </c>
      <c r="C158" s="114">
        <v>3.5000000000000003E-2</v>
      </c>
      <c r="D158" s="114">
        <v>0.59</v>
      </c>
    </row>
    <row r="159" spans="1:4">
      <c r="A159" s="114" t="s">
        <v>218</v>
      </c>
      <c r="B159" s="114">
        <v>5.5E-2</v>
      </c>
      <c r="C159" s="114">
        <v>4.4999999999999998E-2</v>
      </c>
      <c r="D159" s="114">
        <v>0.57369999999999999</v>
      </c>
    </row>
    <row r="160" spans="1:4">
      <c r="A160" s="114" t="s">
        <v>218</v>
      </c>
      <c r="B160" s="114">
        <v>6.7000000000000004E-2</v>
      </c>
      <c r="C160" s="114">
        <v>6.0499999999999998E-2</v>
      </c>
      <c r="D160" s="114">
        <v>0.56230000000000002</v>
      </c>
    </row>
    <row r="161" spans="1:4">
      <c r="A161" s="114" t="s">
        <v>218</v>
      </c>
      <c r="B161" s="114">
        <v>6.8000000000000005E-2</v>
      </c>
      <c r="C161" s="114">
        <v>6.5299999999999997E-2</v>
      </c>
      <c r="D161" s="114">
        <v>0.56130000000000002</v>
      </c>
    </row>
    <row r="162" spans="1:4">
      <c r="A162" s="114" t="s">
        <v>218</v>
      </c>
      <c r="B162" s="114">
        <v>7.8E-2</v>
      </c>
      <c r="C162" s="114">
        <v>1.32E-2</v>
      </c>
      <c r="D162" s="114">
        <v>0.55169999999999997</v>
      </c>
    </row>
    <row r="163" spans="1:4">
      <c r="A163" s="114" t="s">
        <v>218</v>
      </c>
      <c r="B163" s="114">
        <v>8.1000000000000003E-2</v>
      </c>
      <c r="C163" s="114">
        <v>0.12759999999999999</v>
      </c>
      <c r="D163" s="114">
        <v>0.54890000000000005</v>
      </c>
    </row>
    <row r="164" spans="1:4">
      <c r="A164" s="114" t="s">
        <v>218</v>
      </c>
      <c r="B164" s="114">
        <v>9.2999999999999999E-2</v>
      </c>
      <c r="C164" s="114">
        <v>0.1852</v>
      </c>
      <c r="D164" s="114">
        <v>0.53739999999999999</v>
      </c>
    </row>
    <row r="165" spans="1:4">
      <c r="A165" s="114" t="s">
        <v>218</v>
      </c>
      <c r="B165" s="114">
        <v>0.10299999999999999</v>
      </c>
      <c r="C165" s="114">
        <v>0.23319999999999999</v>
      </c>
      <c r="D165" s="114">
        <v>0.52780000000000005</v>
      </c>
    </row>
    <row r="166" spans="1:4">
      <c r="A166" s="114" t="s">
        <v>218</v>
      </c>
      <c r="B166" s="114">
        <v>0.115</v>
      </c>
      <c r="C166" s="114">
        <v>0.29070000000000001</v>
      </c>
      <c r="D166" s="114">
        <v>0.51639999999999997</v>
      </c>
    </row>
    <row r="167" spans="1:4">
      <c r="A167" s="114" t="s">
        <v>218</v>
      </c>
      <c r="B167" s="114">
        <v>0.125</v>
      </c>
      <c r="C167" s="114">
        <v>0.3387</v>
      </c>
      <c r="D167" s="114">
        <v>0.50680000000000003</v>
      </c>
    </row>
    <row r="168" spans="1:4">
      <c r="A168" s="114" t="s">
        <v>218</v>
      </c>
      <c r="B168" s="114">
        <v>0.14799999999999999</v>
      </c>
      <c r="C168" s="114">
        <v>0.44900000000000001</v>
      </c>
      <c r="D168" s="114">
        <v>0.48480000000000001</v>
      </c>
    </row>
    <row r="169" spans="1:4">
      <c r="A169" s="114" t="s">
        <v>218</v>
      </c>
      <c r="B169" s="114">
        <v>0.153</v>
      </c>
      <c r="C169" s="114">
        <v>0.47299999999999998</v>
      </c>
      <c r="D169" s="114">
        <v>0.48</v>
      </c>
    </row>
    <row r="170" spans="1:4">
      <c r="A170" s="114" t="s">
        <v>218</v>
      </c>
      <c r="B170" s="114">
        <v>0.159</v>
      </c>
      <c r="C170" s="114">
        <v>0.50180000000000002</v>
      </c>
      <c r="D170" s="114">
        <v>0.4743</v>
      </c>
    </row>
    <row r="171" spans="1:4">
      <c r="A171" s="114" t="s">
        <v>218</v>
      </c>
      <c r="B171" s="114">
        <v>0.16600000000000001</v>
      </c>
      <c r="C171" s="114">
        <v>0.5353</v>
      </c>
      <c r="D171" s="114">
        <v>0.46760000000000002</v>
      </c>
    </row>
    <row r="227" spans="1:5">
      <c r="A227" s="114" t="s">
        <v>122</v>
      </c>
      <c r="B227" s="114" t="s">
        <v>26</v>
      </c>
      <c r="C227" s="114" t="s">
        <v>235</v>
      </c>
      <c r="D227" s="114" t="s">
        <v>106</v>
      </c>
      <c r="E227" s="114" t="s">
        <v>107</v>
      </c>
    </row>
    <row r="228" spans="1:5">
      <c r="A228" s="114" t="s">
        <v>231</v>
      </c>
      <c r="B228" s="114">
        <v>1.6E-2</v>
      </c>
      <c r="C228" s="114">
        <v>9.4E-2</v>
      </c>
      <c r="D228" s="114">
        <v>1.260440399934693E-2</v>
      </c>
      <c r="E228" s="114">
        <v>1.07820750805581</v>
      </c>
    </row>
    <row r="229" spans="1:5">
      <c r="A229" s="114" t="s">
        <v>231</v>
      </c>
      <c r="B229" s="114">
        <v>1.6E-2</v>
      </c>
      <c r="C229" s="114">
        <v>0.125</v>
      </c>
      <c r="D229" s="114">
        <v>7.2997580984558276E-3</v>
      </c>
      <c r="E229" s="114">
        <v>1.270284552582023</v>
      </c>
    </row>
    <row r="230" spans="1:5">
      <c r="A230" s="114" t="s">
        <v>231</v>
      </c>
      <c r="B230" s="114">
        <v>1.6E-2</v>
      </c>
      <c r="C230" s="114">
        <v>0.1875</v>
      </c>
      <c r="D230" s="114">
        <v>1.3055044470795521E-2</v>
      </c>
      <c r="E230" s="114">
        <v>1.1223478258823449</v>
      </c>
    </row>
    <row r="231" spans="1:5">
      <c r="A231" s="114" t="s">
        <v>231</v>
      </c>
      <c r="B231" s="114">
        <v>1.6E-2</v>
      </c>
      <c r="C231" s="114">
        <v>0.27850000000000003</v>
      </c>
      <c r="D231" s="114">
        <v>1.3828437023024E-2</v>
      </c>
      <c r="E231" s="114">
        <v>1.120010586360707</v>
      </c>
    </row>
    <row r="232" spans="1:5">
      <c r="A232" s="114" t="s">
        <v>231</v>
      </c>
      <c r="B232" s="114">
        <v>0.02</v>
      </c>
      <c r="C232" s="114">
        <v>9.4E-2</v>
      </c>
      <c r="D232" s="114">
        <v>8.887471599357365E-3</v>
      </c>
      <c r="E232" s="114">
        <v>1.2686033736513891</v>
      </c>
    </row>
    <row r="233" spans="1:5">
      <c r="A233" s="114" t="s">
        <v>231</v>
      </c>
      <c r="B233" s="114">
        <v>0.02</v>
      </c>
      <c r="C233" s="114">
        <v>0.125</v>
      </c>
      <c r="D233" s="114">
        <v>5.8067062415543E-3</v>
      </c>
      <c r="E233" s="114">
        <v>1.427745581231211</v>
      </c>
    </row>
    <row r="234" spans="1:5">
      <c r="A234" s="114" t="s">
        <v>231</v>
      </c>
      <c r="B234" s="114">
        <v>0.02</v>
      </c>
      <c r="C234" s="114">
        <v>0.1875</v>
      </c>
      <c r="D234" s="114">
        <v>7.6805752338458049E-3</v>
      </c>
      <c r="E234" s="114">
        <v>1.3621508895096299</v>
      </c>
    </row>
    <row r="235" spans="1:5">
      <c r="A235" s="114" t="s">
        <v>231</v>
      </c>
      <c r="B235" s="114">
        <v>0.02</v>
      </c>
      <c r="C235" s="114">
        <v>0.27850000000000003</v>
      </c>
      <c r="D235" s="114">
        <v>7.6036384892605004E-3</v>
      </c>
      <c r="E235" s="114">
        <v>1.3766122154826499</v>
      </c>
    </row>
    <row r="236" spans="1:5">
      <c r="A236" s="114" t="s">
        <v>231</v>
      </c>
      <c r="B236" s="114">
        <v>2.8000000000000001E-2</v>
      </c>
      <c r="C236" s="114">
        <v>9.4E-2</v>
      </c>
      <c r="D236" s="114">
        <v>7.7876326291687176E-7</v>
      </c>
      <c r="E236" s="114">
        <v>3.971161612096108</v>
      </c>
    </row>
    <row r="237" spans="1:5">
      <c r="A237" s="114" t="s">
        <v>231</v>
      </c>
      <c r="B237" s="114">
        <v>2.8000000000000001E-2</v>
      </c>
      <c r="C237" s="114">
        <v>0.125</v>
      </c>
      <c r="D237" s="114">
        <v>1.0162953224309009E-4</v>
      </c>
      <c r="E237" s="114">
        <v>2.687907328739493</v>
      </c>
    </row>
    <row r="238" spans="1:5">
      <c r="A238" s="114" t="s">
        <v>231</v>
      </c>
      <c r="B238" s="114">
        <v>2.8000000000000001E-2</v>
      </c>
      <c r="C238" s="114">
        <v>0.1875</v>
      </c>
      <c r="D238" s="114">
        <v>4.4794950609471082E-5</v>
      </c>
      <c r="E238" s="114">
        <v>2.893588526791969</v>
      </c>
    </row>
    <row r="239" spans="1:5">
      <c r="A239" s="114" t="s">
        <v>231</v>
      </c>
      <c r="B239" s="114">
        <v>2.8000000000000001E-2</v>
      </c>
      <c r="C239" s="114">
        <v>0.27850000000000003</v>
      </c>
      <c r="D239" s="114">
        <v>1.489034641809783E-4</v>
      </c>
      <c r="E239" s="114">
        <v>2.60697921662236</v>
      </c>
    </row>
    <row r="240" spans="1:5">
      <c r="A240" s="114" t="s">
        <v>231</v>
      </c>
      <c r="B240" s="114">
        <v>4.7E-2</v>
      </c>
      <c r="C240" s="114">
        <v>9.4E-2</v>
      </c>
      <c r="D240" s="114">
        <v>6.9144557216803626E-2</v>
      </c>
      <c r="E240" s="114">
        <v>0.73580967107231732</v>
      </c>
    </row>
    <row r="241" spans="1:5">
      <c r="A241" s="114" t="s">
        <v>231</v>
      </c>
      <c r="B241" s="114">
        <v>4.7E-2</v>
      </c>
      <c r="C241" s="114">
        <v>0.125</v>
      </c>
      <c r="D241" s="114">
        <v>2.3345983715445839E-2</v>
      </c>
      <c r="E241" s="114">
        <v>1.1581349382125921</v>
      </c>
    </row>
    <row r="242" spans="1:5">
      <c r="A242" s="114" t="s">
        <v>231</v>
      </c>
      <c r="B242" s="114">
        <v>4.7E-2</v>
      </c>
      <c r="C242" s="114">
        <v>0.1875</v>
      </c>
      <c r="D242" s="114">
        <v>4.9791523244121748E-3</v>
      </c>
      <c r="E242" s="114">
        <v>1.7253268019004531</v>
      </c>
    </row>
    <row r="243" spans="1:5">
      <c r="A243" s="114" t="s">
        <v>231</v>
      </c>
      <c r="B243" s="114">
        <v>4.7E-2</v>
      </c>
      <c r="C243" s="114">
        <v>0.27850000000000003</v>
      </c>
      <c r="D243" s="114">
        <v>5.8449583384525671E-3</v>
      </c>
      <c r="E243" s="114">
        <v>1.7271828829315909</v>
      </c>
    </row>
    <row r="244" spans="1:5">
      <c r="A244" s="114" t="s">
        <v>231</v>
      </c>
      <c r="B244" s="114">
        <v>6.3E-2</v>
      </c>
      <c r="C244" s="114">
        <v>9.4E-2</v>
      </c>
      <c r="D244" s="114">
        <v>8.2495592719165872E-2</v>
      </c>
      <c r="E244" s="114">
        <v>0.6974616003688906</v>
      </c>
    </row>
    <row r="245" spans="1:5">
      <c r="A245" s="114" t="s">
        <v>231</v>
      </c>
      <c r="B245" s="114">
        <v>6.3E-2</v>
      </c>
      <c r="C245" s="114">
        <v>0.125</v>
      </c>
      <c r="D245" s="114">
        <v>7.5344901161841296E-3</v>
      </c>
      <c r="E245" s="114">
        <v>1.530145607498764</v>
      </c>
    </row>
    <row r="246" spans="1:5">
      <c r="A246" s="114" t="s">
        <v>231</v>
      </c>
      <c r="B246" s="114">
        <v>6.3E-2</v>
      </c>
      <c r="C246" s="114">
        <v>0.1875</v>
      </c>
      <c r="D246" s="114">
        <v>7.0538884724712977E-3</v>
      </c>
      <c r="E246" s="114">
        <v>1.7223905982825749</v>
      </c>
    </row>
    <row r="247" spans="1:5">
      <c r="A247" s="114" t="s">
        <v>231</v>
      </c>
      <c r="B247" s="114">
        <v>6.3E-2</v>
      </c>
      <c r="C247" s="114">
        <v>0.27850000000000003</v>
      </c>
      <c r="D247" s="114">
        <v>1.88154736544273E-3</v>
      </c>
      <c r="E247" s="114">
        <v>2.2355164878443969</v>
      </c>
    </row>
    <row r="248" spans="1:5">
      <c r="A248" s="114" t="s">
        <v>232</v>
      </c>
      <c r="B248" s="114">
        <v>1.6E-2</v>
      </c>
      <c r="C248" s="114">
        <v>9.4E-2</v>
      </c>
      <c r="D248" s="114">
        <v>2.4905465043305931E-3</v>
      </c>
      <c r="E248" s="114">
        <v>1.6180904177326769</v>
      </c>
    </row>
    <row r="249" spans="1:5">
      <c r="A249" s="114" t="s">
        <v>232</v>
      </c>
      <c r="B249" s="114">
        <v>1.6E-2</v>
      </c>
      <c r="C249" s="114">
        <v>0.125</v>
      </c>
      <c r="D249" s="114">
        <v>7.3756322131302574E-3</v>
      </c>
      <c r="E249" s="114">
        <v>1.347367032168868</v>
      </c>
    </row>
    <row r="250" spans="1:5">
      <c r="A250" s="114" t="s">
        <v>232</v>
      </c>
      <c r="B250" s="114">
        <v>1.6E-2</v>
      </c>
      <c r="C250" s="114">
        <v>0.1875</v>
      </c>
      <c r="D250" s="114">
        <v>6.8620919577890953E-3</v>
      </c>
      <c r="E250" s="114">
        <v>1.4327668310152391</v>
      </c>
    </row>
    <row r="251" spans="1:5">
      <c r="A251" s="114" t="s">
        <v>232</v>
      </c>
      <c r="B251" s="114">
        <v>1.6E-2</v>
      </c>
      <c r="C251" s="114">
        <v>0.27850000000000003</v>
      </c>
      <c r="D251" s="114">
        <v>2.1228459764819119E-2</v>
      </c>
      <c r="E251" s="114">
        <v>1.1460094899257529</v>
      </c>
    </row>
    <row r="252" spans="1:5">
      <c r="A252" s="114" t="s">
        <v>232</v>
      </c>
      <c r="B252" s="114">
        <v>0.02</v>
      </c>
      <c r="C252" s="114">
        <v>9.4E-2</v>
      </c>
      <c r="D252" s="114">
        <v>1.233279308097762E-2</v>
      </c>
      <c r="E252" s="114">
        <v>1.1885956783520331</v>
      </c>
    </row>
    <row r="253" spans="1:5">
      <c r="A253" s="114" t="s">
        <v>232</v>
      </c>
      <c r="B253" s="114">
        <v>0.02</v>
      </c>
      <c r="C253" s="114">
        <v>0.125</v>
      </c>
      <c r="D253" s="114">
        <v>1.3967298291142729E-2</v>
      </c>
      <c r="E253" s="114">
        <v>1.2335980395752899</v>
      </c>
    </row>
    <row r="254" spans="1:5">
      <c r="A254" s="114" t="s">
        <v>232</v>
      </c>
      <c r="B254" s="114">
        <v>0.02</v>
      </c>
      <c r="C254" s="114">
        <v>0.1875</v>
      </c>
      <c r="D254" s="114">
        <v>1.2251285430797881E-2</v>
      </c>
      <c r="E254" s="114">
        <v>1.3337675020025239</v>
      </c>
    </row>
    <row r="255" spans="1:5">
      <c r="A255" s="114" t="s">
        <v>232</v>
      </c>
      <c r="B255" s="114">
        <v>0.02</v>
      </c>
      <c r="C255" s="114">
        <v>0.27850000000000003</v>
      </c>
      <c r="D255" s="114">
        <v>1.385938331839833E-2</v>
      </c>
      <c r="E255" s="114">
        <v>1.3328798998964919</v>
      </c>
    </row>
    <row r="256" spans="1:5">
      <c r="A256" s="114" t="s">
        <v>232</v>
      </c>
      <c r="B256" s="114">
        <v>2.8000000000000001E-2</v>
      </c>
      <c r="C256" s="114">
        <v>9.4E-2</v>
      </c>
      <c r="D256" s="114">
        <v>5.565016965465322E-2</v>
      </c>
      <c r="E256" s="114">
        <v>0.76433622580185112</v>
      </c>
    </row>
    <row r="257" spans="1:5">
      <c r="A257" s="114" t="s">
        <v>232</v>
      </c>
      <c r="B257" s="114">
        <v>2.8000000000000001E-2</v>
      </c>
      <c r="C257" s="114">
        <v>0.125</v>
      </c>
      <c r="D257" s="114">
        <v>1.4069480250552839E-2</v>
      </c>
      <c r="E257" s="114">
        <v>1.3435100610437529</v>
      </c>
    </row>
    <row r="258" spans="1:5">
      <c r="A258" s="114" t="s">
        <v>232</v>
      </c>
      <c r="B258" s="114">
        <v>2.8000000000000001E-2</v>
      </c>
      <c r="C258" s="114">
        <v>0.1875</v>
      </c>
      <c r="D258" s="114">
        <v>2.3733321246289462E-3</v>
      </c>
      <c r="E258" s="114">
        <v>2.0017871628505102</v>
      </c>
    </row>
    <row r="259" spans="1:5">
      <c r="A259" s="114" t="s">
        <v>232</v>
      </c>
      <c r="B259" s="114">
        <v>2.8000000000000001E-2</v>
      </c>
      <c r="C259" s="114">
        <v>0.27850000000000003</v>
      </c>
      <c r="D259" s="114">
        <v>3.899221683770561E-3</v>
      </c>
      <c r="E259" s="114">
        <v>1.920995091125739</v>
      </c>
    </row>
    <row r="260" spans="1:5">
      <c r="A260" s="114" t="s">
        <v>232</v>
      </c>
      <c r="B260" s="114">
        <v>3.3000000000000002E-2</v>
      </c>
      <c r="C260" s="114">
        <v>9.4E-2</v>
      </c>
      <c r="D260" s="114">
        <v>3.0565516051470221E-2</v>
      </c>
      <c r="E260" s="114">
        <v>0.93973547494919318</v>
      </c>
    </row>
    <row r="261" spans="1:5">
      <c r="A261" s="114" t="s">
        <v>232</v>
      </c>
      <c r="B261" s="114">
        <v>3.3000000000000002E-2</v>
      </c>
      <c r="C261" s="114">
        <v>0.125</v>
      </c>
      <c r="D261" s="114">
        <v>5.4180894216100152E-2</v>
      </c>
      <c r="E261" s="114">
        <v>0.91288883414524613</v>
      </c>
    </row>
    <row r="262" spans="1:5">
      <c r="A262" s="114" t="s">
        <v>232</v>
      </c>
      <c r="B262" s="114">
        <v>3.3000000000000002E-2</v>
      </c>
      <c r="C262" s="114">
        <v>0.1875</v>
      </c>
      <c r="D262" s="114">
        <v>3.3438717377594823E-2</v>
      </c>
      <c r="E262" s="114">
        <v>1.156471936215588</v>
      </c>
    </row>
    <row r="263" spans="1:5">
      <c r="A263" s="114" t="s">
        <v>232</v>
      </c>
      <c r="B263" s="114">
        <v>3.3000000000000002E-2</v>
      </c>
      <c r="C263" s="114">
        <v>0.27850000000000003</v>
      </c>
      <c r="D263" s="114">
        <v>3.5182288341296303E-2</v>
      </c>
      <c r="E263" s="114">
        <v>1.1946091938236061</v>
      </c>
    </row>
  </sheetData>
  <phoneticPr fontId="51" type="noConversion"/>
  <pageMargins left="0.7" right="0.7" top="0.75" bottom="0.75" header="0.3" footer="0.3"/>
  <tableParts count="2">
    <tablePart r:id="rId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A8091-648D-6F47-B6FB-2B15C5073786}">
  <dimension ref="A3:L16"/>
  <sheetViews>
    <sheetView workbookViewId="0">
      <selection activeCell="G22" sqref="G22"/>
    </sheetView>
  </sheetViews>
  <sheetFormatPr baseColWidth="10" defaultColWidth="10.83203125" defaultRowHeight="13"/>
  <cols>
    <col min="2" max="2" width="18.6640625" customWidth="1"/>
  </cols>
  <sheetData>
    <row r="3" spans="1:12">
      <c r="A3" s="7" t="s">
        <v>137</v>
      </c>
      <c r="H3" s="43"/>
      <c r="I3" s="43"/>
      <c r="J3" s="43"/>
      <c r="K3" s="43"/>
      <c r="L3" s="43"/>
    </row>
    <row r="4" spans="1:12">
      <c r="A4" t="s">
        <v>100</v>
      </c>
      <c r="H4" s="43"/>
      <c r="I4" s="43"/>
      <c r="J4" s="43"/>
      <c r="K4" s="43"/>
      <c r="L4" s="43"/>
    </row>
    <row r="5" spans="1:12">
      <c r="H5" s="43"/>
      <c r="I5" s="43"/>
      <c r="J5" s="43"/>
      <c r="K5" s="43"/>
      <c r="L5" s="43"/>
    </row>
    <row r="6" spans="1:12">
      <c r="B6" s="7" t="s">
        <v>35</v>
      </c>
      <c r="C6" s="7" t="s">
        <v>36</v>
      </c>
      <c r="D6" s="7" t="s">
        <v>37</v>
      </c>
      <c r="E6" s="7" t="s">
        <v>38</v>
      </c>
      <c r="F6" s="7" t="s">
        <v>39</v>
      </c>
      <c r="G6" t="s">
        <v>133</v>
      </c>
      <c r="I6" s="43"/>
      <c r="J6" s="43"/>
      <c r="K6" s="43"/>
      <c r="L6" s="43"/>
    </row>
    <row r="7" spans="1:12" ht="42">
      <c r="A7" s="113" t="s">
        <v>10</v>
      </c>
      <c r="B7" s="8" t="s">
        <v>35</v>
      </c>
      <c r="C7" s="8" t="s">
        <v>36</v>
      </c>
      <c r="D7" s="8" t="s">
        <v>37</v>
      </c>
      <c r="E7" s="8" t="s">
        <v>38</v>
      </c>
      <c r="F7" s="8" t="s">
        <v>39</v>
      </c>
      <c r="G7" s="43" t="s">
        <v>133</v>
      </c>
      <c r="H7" s="8" t="s">
        <v>11</v>
      </c>
      <c r="J7" s="43"/>
      <c r="K7" s="43"/>
      <c r="L7" s="43"/>
    </row>
    <row r="8" spans="1:12">
      <c r="A8" s="7">
        <v>0.1</v>
      </c>
      <c r="B8" s="88">
        <v>59.5</v>
      </c>
      <c r="C8" s="88">
        <v>110.3</v>
      </c>
      <c r="D8" s="88">
        <v>162</v>
      </c>
      <c r="E8" s="88">
        <v>201</v>
      </c>
      <c r="F8" s="88">
        <v>285</v>
      </c>
      <c r="G8" s="43">
        <v>361</v>
      </c>
      <c r="H8" s="9">
        <f>'Atomization Model'!$E$22</f>
        <v>133.84346359143333</v>
      </c>
      <c r="J8" s="43"/>
      <c r="K8" s="43"/>
      <c r="L8" s="43"/>
    </row>
    <row r="9" spans="1:12">
      <c r="A9" s="7">
        <v>0.5</v>
      </c>
      <c r="B9" s="88">
        <v>134.4</v>
      </c>
      <c r="C9" s="88">
        <v>248.1</v>
      </c>
      <c r="D9" s="88">
        <v>357.8</v>
      </c>
      <c r="E9" s="88">
        <v>443</v>
      </c>
      <c r="F9" s="88">
        <v>599</v>
      </c>
      <c r="G9" s="43">
        <v>754</v>
      </c>
      <c r="H9" s="9">
        <f>'Atomization Model'!$E$23</f>
        <v>298.96169961537782</v>
      </c>
      <c r="J9" s="43"/>
      <c r="K9" s="43"/>
      <c r="L9" s="43"/>
    </row>
    <row r="10" spans="1:12">
      <c r="A10" s="7">
        <v>0.9</v>
      </c>
      <c r="B10" s="88">
        <v>236.4</v>
      </c>
      <c r="C10" s="88">
        <v>409.4</v>
      </c>
      <c r="D10" s="88">
        <v>584</v>
      </c>
      <c r="E10" s="88">
        <v>750</v>
      </c>
      <c r="F10" s="88">
        <v>951</v>
      </c>
      <c r="G10" s="43">
        <v>1182</v>
      </c>
      <c r="H10" s="9">
        <f>'Atomization Model'!$E$24</f>
        <v>521.13115978458882</v>
      </c>
      <c r="J10" s="43"/>
      <c r="K10" s="43"/>
      <c r="L10" s="43"/>
    </row>
    <row r="11" spans="1:12">
      <c r="D11" s="43"/>
      <c r="E11" s="43"/>
      <c r="F11" s="43"/>
      <c r="G11" s="43"/>
      <c r="H11" s="43"/>
      <c r="I11" s="43"/>
      <c r="J11" s="43"/>
      <c r="K11" s="43"/>
      <c r="L11" s="43"/>
    </row>
    <row r="12" spans="1:12">
      <c r="D12" s="43"/>
      <c r="E12" s="43"/>
      <c r="F12" s="43"/>
      <c r="G12" s="43"/>
      <c r="H12" s="43"/>
      <c r="I12" s="43"/>
      <c r="J12" s="43"/>
      <c r="K12" s="43"/>
      <c r="L12" s="43"/>
    </row>
    <row r="13" spans="1:12">
      <c r="A13" s="7" t="s">
        <v>40</v>
      </c>
      <c r="B13" s="44" t="str">
        <f>IF(H8&gt;=G8, "ULT. COARSE", IF(H8&gt;=F8,"EXT. COARSE",IF(H8&gt;=E8,"VERY COARSE",IF(H8&gt;=D8,"COARSE",IF(H8&gt;=C8,"MEDIUM",IF(H8&gt;=B8,"FINE",IF(H8&gt;=0,"VERY FINE")))))))</f>
        <v>MEDIUM</v>
      </c>
      <c r="C13" s="44">
        <f>IF(H8&gt;=G8, 7, IF(H8&gt;=F8,6,IF(H8&gt;=E8,5,IF(H8&gt;=D8,4,IF(H8&gt;=C8,3,IF(H8&gt;=B8,2,IF(H8&gt;=0,1)))))))</f>
        <v>3</v>
      </c>
      <c r="D13" s="43"/>
      <c r="E13" s="42"/>
      <c r="F13" s="43"/>
      <c r="G13" s="43"/>
      <c r="H13" s="43"/>
      <c r="I13" s="43"/>
      <c r="J13" s="43"/>
      <c r="K13" s="43"/>
      <c r="L13" s="43"/>
    </row>
    <row r="14" spans="1:12">
      <c r="A14" s="7" t="s">
        <v>41</v>
      </c>
      <c r="B14" s="44" t="str">
        <f>IF(H9&gt;=G9, "ULT. COARSE", IF(H9&gt;=F9,"EXT. COARSE",IF(H9&gt;=E9,"VERY COARSE",IF(H9&gt;=D9,"COARSE",IF(H9&gt;=C9,"MEDIUM",IF(H9&gt;=B9,"FINE",IF(H9&gt;=0,"VERY FINE")))))))</f>
        <v>MEDIUM</v>
      </c>
      <c r="C14" s="44">
        <f t="shared" ref="C14:C15" si="0">IF(H9&gt;=G9, 7, IF(H9&gt;=F9,6,IF(H9&gt;=E9,5,IF(H9&gt;=D9,4,IF(H9&gt;=C9,3,IF(H9&gt;=B9,2,IF(H9&gt;=0,1)))))))</f>
        <v>3</v>
      </c>
      <c r="D14" s="43"/>
      <c r="E14" s="43"/>
      <c r="F14" s="43"/>
      <c r="G14" s="43"/>
      <c r="H14" s="43"/>
      <c r="I14" s="43"/>
      <c r="J14" s="43"/>
      <c r="K14" s="43"/>
      <c r="L14" s="43"/>
    </row>
    <row r="15" spans="1:12">
      <c r="A15" s="7" t="s">
        <v>97</v>
      </c>
      <c r="B15" s="44" t="str">
        <f>IF(H10&gt;=G10, "ULT. COARSE", IF(H10&gt;=F10,"EXT. COARSE",IF(H10&gt;=E10,"VERY COARSE",IF(H10&gt;=D10,"COARSE",IF(H10&gt;=C10,"MEDIUM",IF(H10&gt;=B10,"FINE",IF(H10&gt;=0,"VERY FINE")))))))</f>
        <v>MEDIUM</v>
      </c>
      <c r="C15" s="44">
        <f t="shared" si="0"/>
        <v>3</v>
      </c>
      <c r="D15" s="43"/>
      <c r="E15" s="43"/>
      <c r="F15" s="43"/>
      <c r="G15" s="43"/>
      <c r="H15" s="43"/>
      <c r="I15" s="43"/>
      <c r="J15" s="43"/>
      <c r="K15" s="43"/>
      <c r="L15" s="43"/>
    </row>
    <row r="16" spans="1:12">
      <c r="A16" s="7" t="s">
        <v>42</v>
      </c>
      <c r="B16" t="str">
        <f>CHOOSE(MIN(C13:C14),"VERY FINE","FINE","MEDIUM","COARSE","VERY COARSE","EXT. COARSE", "ULT. COARSE")</f>
        <v>MEDIUM</v>
      </c>
      <c r="D16" s="43"/>
      <c r="E16" s="43"/>
      <c r="F16" s="43"/>
      <c r="G16" s="43"/>
      <c r="H16" s="43"/>
      <c r="I16" s="43"/>
      <c r="J16" s="43"/>
      <c r="K16" s="43"/>
      <c r="L16" s="4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Atomization Model</vt:lpstr>
      <vt:lpstr>Model Parameters with Tables</vt:lpstr>
      <vt:lpstr>Nozzle Flow Rates with Tables</vt:lpstr>
      <vt:lpstr>Reference Nozzles S572.3</vt:lpstr>
      <vt:lpstr>SelectedNozzle</vt:lpstr>
      <vt:lpstr>SelectedOrifice</vt:lpstr>
      <vt:lpstr>SelectedRestrictor</vt:lpstr>
      <vt:lpstr>SelectedSpeed</vt:lpstr>
    </vt:vector>
  </TitlesOfParts>
  <Company>ARS, USDA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Brad Fritz</cp:lastModifiedBy>
  <cp:lastPrinted>2011-01-11T13:39:02Z</cp:lastPrinted>
  <dcterms:created xsi:type="dcterms:W3CDTF">1998-11-30T16:43:08Z</dcterms:created>
  <dcterms:modified xsi:type="dcterms:W3CDTF">2025-12-02T15:19:57Z</dcterms:modified>
</cp:coreProperties>
</file>